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511" windowWidth="24755" windowHeight="10669" activeTab="1"/>
  </bookViews>
  <sheets>
    <sheet name="Originale" sheetId="1" r:id="rId1"/>
    <sheet name="Riqualifica" sheetId="2" r:id="rId2"/>
    <sheet name="Originale 1" sheetId="3" r:id="rId3"/>
  </sheets>
  <definedNames/>
  <calcPr fullCalcOnLoad="1"/>
</workbook>
</file>

<file path=xl/sharedStrings.xml><?xml version="1.0" encoding="utf-8"?>
<sst xmlns="http://schemas.openxmlformats.org/spreadsheetml/2006/main" count="510" uniqueCount="142">
  <si>
    <t>U pareti</t>
  </si>
  <si>
    <t>w/m2 k</t>
  </si>
  <si>
    <t>U w</t>
  </si>
  <si>
    <t>Località</t>
  </si>
  <si>
    <t>BRESCIA</t>
  </si>
  <si>
    <t>T interna</t>
  </si>
  <si>
    <t>°C</t>
  </si>
  <si>
    <t>T est.</t>
  </si>
  <si>
    <t>BAGNO</t>
  </si>
  <si>
    <t>struttura</t>
  </si>
  <si>
    <t>U</t>
  </si>
  <si>
    <t>Orientam.</t>
  </si>
  <si>
    <t>Ponti term.</t>
  </si>
  <si>
    <t>DT</t>
  </si>
  <si>
    <t>Q[watt]</t>
  </si>
  <si>
    <t>parete N.</t>
  </si>
  <si>
    <t>w</t>
  </si>
  <si>
    <t>serram. N.</t>
  </si>
  <si>
    <t>tot.</t>
  </si>
  <si>
    <t>SALA D’ATTESA</t>
  </si>
  <si>
    <t>serram. S.</t>
  </si>
  <si>
    <t>parete S.</t>
  </si>
  <si>
    <t>STUDIO</t>
  </si>
  <si>
    <t>serram. E.</t>
  </si>
  <si>
    <t>parete E.</t>
  </si>
  <si>
    <t>Ct acqua</t>
  </si>
  <si>
    <t>Locale</t>
  </si>
  <si>
    <t>P. radiatori</t>
  </si>
  <si>
    <t>N elementi</t>
  </si>
  <si>
    <t>Bagno</t>
  </si>
  <si>
    <t>14x2</t>
  </si>
  <si>
    <t>Sala d’attesa</t>
  </si>
  <si>
    <t>Studio</t>
  </si>
  <si>
    <t>k tot.</t>
  </si>
  <si>
    <t>ε/D</t>
  </si>
  <si>
    <t>Ytot.</t>
  </si>
  <si>
    <t>f</t>
  </si>
  <si>
    <t>Trasmittanze strutture</t>
  </si>
  <si>
    <t>U serr.</t>
  </si>
  <si>
    <t>A[m2]</t>
  </si>
  <si>
    <t>DISPERSIONI TERMICHE INVERNALI</t>
  </si>
  <si>
    <t>Viscosità 50°C</t>
  </si>
  <si>
    <t>m2/s</t>
  </si>
  <si>
    <t>Rugosita PEX</t>
  </si>
  <si>
    <t>m</t>
  </si>
  <si>
    <t>H locali</t>
  </si>
  <si>
    <t>Costanti utilizzate</t>
  </si>
  <si>
    <t>w/m2k</t>
  </si>
  <si>
    <t>Densità acqua</t>
  </si>
  <si>
    <t>Kg/m3</t>
  </si>
  <si>
    <t>DIMENSIONAMENTO RADIATORI</t>
  </si>
  <si>
    <t>Pot. 1 elemento</t>
  </si>
  <si>
    <t>N° elementi</t>
  </si>
  <si>
    <t>SALA ATTESA</t>
  </si>
  <si>
    <t>DIMENSIONAMENTO TUBATURE</t>
  </si>
  <si>
    <t>D. int [m]</t>
  </si>
  <si>
    <t>Vel. H2O</t>
  </si>
  <si>
    <t>Utilizziamo radiatori da 650mm per garantire la posa sotto le finestre.</t>
  </si>
  <si>
    <t>L. tubi [m]</t>
  </si>
  <si>
    <t>Re</t>
  </si>
  <si>
    <t>CALCOLO PERDITE DI CARICO</t>
  </si>
  <si>
    <t>Coefficienti perdite localizzate K</t>
  </si>
  <si>
    <t>Curve 90</t>
  </si>
  <si>
    <t>Detentore</t>
  </si>
  <si>
    <t>Valvola</t>
  </si>
  <si>
    <t>Collettore</t>
  </si>
  <si>
    <t>Radiatore</t>
  </si>
  <si>
    <t>K fisso</t>
  </si>
  <si>
    <t>D int. [m]</t>
  </si>
  <si>
    <t>Yd [m]</t>
  </si>
  <si>
    <t>Yc [m]</t>
  </si>
  <si>
    <t>Q [kg/s]</t>
  </si>
  <si>
    <t>Scelgo il diametro minimo disponibile e verifico la velocità ottenuta. Se troppo bassa diminusico Dt; se troppo alta aumento diametro tubo</t>
  </si>
  <si>
    <t>Per ogni radiatore indichiamo le curve in piano da 90° (o circa). Se sono molto ampie le trascuriamo.</t>
  </si>
  <si>
    <t>Dispersioni complessive locali</t>
  </si>
  <si>
    <t>watt</t>
  </si>
  <si>
    <t>Ogni radiatore ha un numero fisso di 4 curve a 90°, 1 detentore, una valvola a squadro, 2 passaggi in collettore, radiatore --&gt; K tot. 16</t>
  </si>
  <si>
    <t>Formula per coeff. Attrito</t>
  </si>
  <si>
    <t>kPa</t>
  </si>
  <si>
    <t>La portata totale dell'impianto è pari a</t>
  </si>
  <si>
    <t>Kg/s</t>
  </si>
  <si>
    <t>litri/ora</t>
  </si>
  <si>
    <t>D.</t>
  </si>
  <si>
    <t>termoar.</t>
  </si>
  <si>
    <t>Il circuito più sfavorito è lo studio con una perdita di pressione</t>
  </si>
  <si>
    <t>Il circolatore della caldaia assegnata è ampiamente sovradimensionato.</t>
  </si>
  <si>
    <t>RIQUALIFICAZIONE STUDIO MEDICO</t>
  </si>
  <si>
    <t>piano intermedio</t>
  </si>
  <si>
    <r>
      <rPr>
        <sz val="10"/>
        <color indexed="8"/>
        <rFont val="Symbol"/>
        <family val="1"/>
      </rPr>
      <t>D</t>
    </r>
    <r>
      <rPr>
        <sz val="10"/>
        <color theme="1"/>
        <rFont val="Liberation Sans"/>
        <family val="0"/>
      </rPr>
      <t>T</t>
    </r>
  </si>
  <si>
    <t xml:space="preserve">Nel bagno al posto del radiatore mettiamo un termoarredo da </t>
  </si>
  <si>
    <t>VERIFICA CIRCOLATORE CALDAIA</t>
  </si>
  <si>
    <t>Curve</t>
  </si>
  <si>
    <r>
      <rPr>
        <b/>
        <sz val="8"/>
        <color indexed="8"/>
        <rFont val="Symbol"/>
        <family val="1"/>
      </rPr>
      <t>D</t>
    </r>
    <r>
      <rPr>
        <b/>
        <sz val="8"/>
        <color indexed="8"/>
        <rFont val="Liberation Sans"/>
        <family val="0"/>
      </rPr>
      <t>T radiat.</t>
    </r>
  </si>
  <si>
    <r>
      <rPr>
        <b/>
        <sz val="8"/>
        <color indexed="8"/>
        <rFont val="Symbol"/>
        <family val="1"/>
      </rPr>
      <t>D</t>
    </r>
    <r>
      <rPr>
        <b/>
        <sz val="8"/>
        <color indexed="8"/>
        <rFont val="Liberation Sans"/>
        <family val="0"/>
      </rPr>
      <t>P (kPa)</t>
    </r>
  </si>
  <si>
    <t>K  90°</t>
  </si>
  <si>
    <t>L.  [m]</t>
  </si>
  <si>
    <t>Vel.</t>
  </si>
  <si>
    <t>L. tubi</t>
  </si>
  <si>
    <t>mm</t>
  </si>
  <si>
    <t>D. int</t>
  </si>
  <si>
    <t>N elem.</t>
  </si>
  <si>
    <t>W</t>
  </si>
  <si>
    <t>m/s</t>
  </si>
  <si>
    <t>Kpa</t>
  </si>
  <si>
    <r>
      <rPr>
        <b/>
        <sz val="8"/>
        <color indexed="8"/>
        <rFont val="Symbol"/>
        <family val="1"/>
      </rPr>
      <t>D</t>
    </r>
    <r>
      <rPr>
        <b/>
        <sz val="8"/>
        <color indexed="8"/>
        <rFont val="Arial"/>
        <family val="2"/>
      </rPr>
      <t>P</t>
    </r>
  </si>
  <si>
    <t>Yc</t>
  </si>
  <si>
    <t>D int.</t>
  </si>
  <si>
    <r>
      <rPr>
        <b/>
        <sz val="8"/>
        <color indexed="8"/>
        <rFont val="Symbol"/>
        <family val="1"/>
      </rPr>
      <t>D</t>
    </r>
    <r>
      <rPr>
        <b/>
        <sz val="8"/>
        <color indexed="8"/>
        <rFont val="Arial"/>
        <family val="2"/>
      </rPr>
      <t>T rad.</t>
    </r>
  </si>
  <si>
    <t>P. radiat.</t>
  </si>
  <si>
    <t>Or.</t>
  </si>
  <si>
    <t>PT</t>
  </si>
  <si>
    <r>
      <rPr>
        <sz val="8"/>
        <color indexed="8"/>
        <rFont val="Symbol"/>
        <family val="1"/>
      </rPr>
      <t>D</t>
    </r>
    <r>
      <rPr>
        <sz val="8"/>
        <color indexed="8"/>
        <rFont val="Arial"/>
        <family val="2"/>
      </rPr>
      <t>T</t>
    </r>
  </si>
  <si>
    <t xml:space="preserve">Scelgo il diametro minimo disponibile e verifico la velocità ottenuta. </t>
  </si>
  <si>
    <t>Se troppo bassa diminusico Dt; se troppo alta aumento diametro tubo</t>
  </si>
  <si>
    <t>Ogni radiatore ha un numero fisso di 4 curve a 90°, 1 detentore, una valvola a squadro, 2 passaggi in collettore, radiatore ( K tot. 16)</t>
  </si>
  <si>
    <t>ventilazione</t>
  </si>
  <si>
    <r>
      <rPr>
        <sz val="8"/>
        <color indexed="8"/>
        <rFont val="Symbol"/>
        <family val="1"/>
      </rPr>
      <t>D</t>
    </r>
    <r>
      <rPr>
        <sz val="8"/>
        <color indexed="8"/>
        <rFont val="Arial"/>
        <family val="2"/>
      </rPr>
      <t>T</t>
    </r>
  </si>
  <si>
    <t>Ricambio</t>
  </si>
  <si>
    <t>m3/h</t>
  </si>
  <si>
    <t>N° persone</t>
  </si>
  <si>
    <t>vol/h</t>
  </si>
  <si>
    <t>Ct aria</t>
  </si>
  <si>
    <t>Densità aria</t>
  </si>
  <si>
    <t>m3</t>
  </si>
  <si>
    <t>Pot. 1 elem.</t>
  </si>
  <si>
    <t xml:space="preserve">Nel bagno mettiamo un termoarredo da </t>
  </si>
  <si>
    <t>VMC 70% efficienza</t>
  </si>
  <si>
    <t xml:space="preserve">Il circuito più sfavorito è la sala attesa </t>
  </si>
  <si>
    <t>Il circuito più sfavorito è lo studio</t>
  </si>
  <si>
    <t>La portata totale dell'impianto è</t>
  </si>
  <si>
    <t>VERIFICA CIRCOLATORE CALDAIA VITRIX 28Kw</t>
  </si>
  <si>
    <t>COSTO RISCALDAMENTO INVERNALE</t>
  </si>
  <si>
    <t>N° giorni</t>
  </si>
  <si>
    <t>dal 15 ottobre al 14 aprile</t>
  </si>
  <si>
    <t>Ore</t>
  </si>
  <si>
    <t>con regolazione automatica T</t>
  </si>
  <si>
    <t>Tmedia inv.</t>
  </si>
  <si>
    <t>C KWh termico</t>
  </si>
  <si>
    <t>€</t>
  </si>
  <si>
    <t>Energia tot.</t>
  </si>
  <si>
    <t>KWh termici</t>
  </si>
  <si>
    <t>Costo tot.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</si>
</sst>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"/>
  </numFmts>
  <fonts count="89">
    <font>
      <sz val="10"/>
      <color theme="1"/>
      <name val="Liberation Sans"/>
      <family val="0"/>
    </font>
    <font>
      <sz val="11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62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b/>
      <sz val="11"/>
      <color indexed="63"/>
      <name val="Calibri"/>
      <family val="2"/>
    </font>
    <font>
      <b/>
      <i/>
      <u val="single"/>
      <sz val="10"/>
      <color indexed="8"/>
      <name val="Liberation Sans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Liberation Sans"/>
      <family val="0"/>
    </font>
    <font>
      <b/>
      <sz val="8"/>
      <color indexed="8"/>
      <name val="Liberation Sans"/>
      <family val="0"/>
    </font>
    <font>
      <sz val="8"/>
      <color indexed="8"/>
      <name val="Liberation Sans"/>
      <family val="0"/>
    </font>
    <font>
      <i/>
      <sz val="8"/>
      <color indexed="8"/>
      <name val="Liberation Sans"/>
      <family val="0"/>
    </font>
    <font>
      <b/>
      <sz val="8"/>
      <color indexed="8"/>
      <name val="Symbol"/>
      <family val="1"/>
    </font>
    <font>
      <b/>
      <sz val="8"/>
      <color indexed="8"/>
      <name val="Liberation Sans1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Liberation Sans"/>
      <family val="0"/>
    </font>
    <font>
      <u val="single"/>
      <sz val="10"/>
      <color theme="11"/>
      <name val="Liberation Sans"/>
      <family val="0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3F3F7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3F3F3F"/>
      <name val="Calibri"/>
      <family val="2"/>
    </font>
    <font>
      <b/>
      <i/>
      <u val="single"/>
      <sz val="10"/>
      <color rgb="FF000000"/>
      <name val="Liberation Sans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ans"/>
      <family val="0"/>
    </font>
    <font>
      <b/>
      <sz val="8"/>
      <color theme="1"/>
      <name val="Liberation Sans"/>
      <family val="0"/>
    </font>
    <font>
      <sz val="8"/>
      <color theme="1"/>
      <name val="Liberation Sans"/>
      <family val="0"/>
    </font>
    <font>
      <i/>
      <sz val="8"/>
      <color theme="1"/>
      <name val="Liberation Sans"/>
      <family val="0"/>
    </font>
    <font>
      <b/>
      <sz val="8"/>
      <color theme="1"/>
      <name val="Liberation Sans1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0" fillId="22" borderId="0">
      <alignment/>
      <protection/>
    </xf>
    <xf numFmtId="0" fontId="50" fillId="23" borderId="0">
      <alignment/>
      <protection/>
    </xf>
    <xf numFmtId="0" fontId="51" fillId="24" borderId="1" applyNumberFormat="0" applyAlignment="0" applyProtection="0"/>
    <xf numFmtId="0" fontId="52" fillId="0" borderId="2" applyNumberFormat="0" applyFill="0" applyAlignment="0" applyProtection="0"/>
    <xf numFmtId="0" fontId="53" fillId="25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6" fillId="32" borderId="0">
      <alignment/>
      <protection/>
    </xf>
    <xf numFmtId="0" fontId="57" fillId="0" borderId="0">
      <alignment/>
      <protection/>
    </xf>
    <xf numFmtId="0" fontId="58" fillId="33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34" borderId="1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4" fillId="35" borderId="0">
      <alignment/>
      <protection/>
    </xf>
    <xf numFmtId="0" fontId="65" fillId="36" borderId="0" applyNumberFormat="0" applyBorder="0" applyAlignment="0" applyProtection="0"/>
    <xf numFmtId="0" fontId="46" fillId="37" borderId="4" applyNumberFormat="0" applyFont="0" applyAlignment="0" applyProtection="0"/>
    <xf numFmtId="0" fontId="66" fillId="35" borderId="5">
      <alignment/>
      <protection/>
    </xf>
    <xf numFmtId="0" fontId="67" fillId="24" borderId="6" applyNumberFormat="0" applyAlignment="0" applyProtection="0"/>
    <xf numFmtId="9" fontId="46" fillId="0" borderId="0" applyFont="0" applyFill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8" borderId="0" applyNumberFormat="0" applyBorder="0" applyAlignment="0" applyProtection="0"/>
    <xf numFmtId="0" fontId="77" fillId="39" borderId="0" applyNumberFormat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0">
      <alignment/>
      <protection/>
    </xf>
  </cellStyleXfs>
  <cellXfs count="206">
    <xf numFmtId="0" fontId="0" fillId="0" borderId="0" xfId="0" applyAlignment="1">
      <alignment/>
    </xf>
    <xf numFmtId="0" fontId="78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right"/>
    </xf>
    <xf numFmtId="4" fontId="0" fillId="40" borderId="0" xfId="0" applyNumberFormat="1" applyFill="1" applyAlignment="1">
      <alignment/>
    </xf>
    <xf numFmtId="0" fontId="0" fillId="40" borderId="11" xfId="0" applyFill="1" applyBorder="1" applyAlignment="1">
      <alignment/>
    </xf>
    <xf numFmtId="0" fontId="0" fillId="40" borderId="11" xfId="0" applyFill="1" applyBorder="1" applyAlignment="1">
      <alignment horizontal="center"/>
    </xf>
    <xf numFmtId="4" fontId="0" fillId="40" borderId="11" xfId="0" applyNumberFormat="1" applyFill="1" applyBorder="1" applyAlignment="1">
      <alignment horizontal="center"/>
    </xf>
    <xf numFmtId="0" fontId="0" fillId="40" borderId="11" xfId="0" applyFill="1" applyBorder="1" applyAlignment="1">
      <alignment horizontal="right"/>
    </xf>
    <xf numFmtId="0" fontId="0" fillId="40" borderId="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2" xfId="0" applyFill="1" applyBorder="1" applyAlignment="1">
      <alignment horizontal="center"/>
    </xf>
    <xf numFmtId="0" fontId="78" fillId="40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 horizontal="right"/>
    </xf>
    <xf numFmtId="0" fontId="0" fillId="40" borderId="0" xfId="0" applyFill="1" applyBorder="1" applyAlignment="1">
      <alignment horizontal="right"/>
    </xf>
    <xf numFmtId="4" fontId="0" fillId="40" borderId="0" xfId="0" applyNumberFormat="1" applyFill="1" applyBorder="1" applyAlignment="1">
      <alignment/>
    </xf>
    <xf numFmtId="0" fontId="0" fillId="40" borderId="13" xfId="0" applyFill="1" applyBorder="1" applyAlignment="1">
      <alignment horizontal="right"/>
    </xf>
    <xf numFmtId="0" fontId="0" fillId="41" borderId="13" xfId="0" applyFill="1" applyBorder="1" applyAlignment="1">
      <alignment/>
    </xf>
    <xf numFmtId="0" fontId="0" fillId="41" borderId="13" xfId="0" applyFill="1" applyBorder="1" applyAlignment="1">
      <alignment horizontal="center"/>
    </xf>
    <xf numFmtId="3" fontId="0" fillId="40" borderId="12" xfId="0" applyNumberFormat="1" applyFill="1" applyBorder="1" applyAlignment="1">
      <alignment horizontal="right"/>
    </xf>
    <xf numFmtId="3" fontId="0" fillId="40" borderId="15" xfId="0" applyNumberFormat="1" applyFill="1" applyBorder="1" applyAlignment="1">
      <alignment horizontal="right"/>
    </xf>
    <xf numFmtId="3" fontId="0" fillId="40" borderId="13" xfId="0" applyNumberFormat="1" applyFill="1" applyBorder="1" applyAlignment="1">
      <alignment/>
    </xf>
    <xf numFmtId="0" fontId="0" fillId="40" borderId="0" xfId="0" applyFont="1" applyFill="1" applyAlignment="1">
      <alignment/>
    </xf>
    <xf numFmtId="3" fontId="0" fillId="40" borderId="0" xfId="0" applyNumberForma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78" fillId="41" borderId="13" xfId="0" applyFont="1" applyFill="1" applyBorder="1" applyAlignment="1">
      <alignment/>
    </xf>
    <xf numFmtId="0" fontId="78" fillId="41" borderId="16" xfId="0" applyFont="1" applyFill="1" applyBorder="1" applyAlignment="1">
      <alignment/>
    </xf>
    <xf numFmtId="0" fontId="78" fillId="41" borderId="17" xfId="0" applyFont="1" applyFill="1" applyBorder="1" applyAlignment="1">
      <alignment/>
    </xf>
    <xf numFmtId="0" fontId="0" fillId="41" borderId="18" xfId="0" applyFill="1" applyBorder="1" applyAlignment="1">
      <alignment horizontal="center"/>
    </xf>
    <xf numFmtId="3" fontId="0" fillId="40" borderId="19" xfId="0" applyNumberFormat="1" applyFill="1" applyBorder="1" applyAlignment="1">
      <alignment horizontal="right"/>
    </xf>
    <xf numFmtId="3" fontId="0" fillId="40" borderId="20" xfId="0" applyNumberFormat="1" applyFill="1" applyBorder="1" applyAlignment="1">
      <alignment horizontal="right"/>
    </xf>
    <xf numFmtId="0" fontId="0" fillId="40" borderId="21" xfId="0" applyFill="1" applyBorder="1" applyAlignment="1">
      <alignment/>
    </xf>
    <xf numFmtId="0" fontId="79" fillId="40" borderId="0" xfId="0" applyFont="1" applyFill="1" applyAlignment="1">
      <alignment/>
    </xf>
    <xf numFmtId="0" fontId="80" fillId="40" borderId="0" xfId="0" applyFont="1" applyFill="1" applyAlignment="1">
      <alignment/>
    </xf>
    <xf numFmtId="0" fontId="79" fillId="40" borderId="13" xfId="0" applyFont="1" applyFill="1" applyBorder="1" applyAlignment="1">
      <alignment/>
    </xf>
    <xf numFmtId="0" fontId="79" fillId="41" borderId="13" xfId="0" applyFont="1" applyFill="1" applyBorder="1" applyAlignment="1">
      <alignment/>
    </xf>
    <xf numFmtId="0" fontId="79" fillId="41" borderId="17" xfId="0" applyFont="1" applyFill="1" applyBorder="1" applyAlignment="1">
      <alignment/>
    </xf>
    <xf numFmtId="0" fontId="80" fillId="41" borderId="17" xfId="0" applyFont="1" applyFill="1" applyBorder="1" applyAlignment="1">
      <alignment/>
    </xf>
    <xf numFmtId="0" fontId="80" fillId="40" borderId="13" xfId="0" applyFont="1" applyFill="1" applyBorder="1" applyAlignment="1">
      <alignment/>
    </xf>
    <xf numFmtId="1" fontId="80" fillId="40" borderId="18" xfId="0" applyNumberFormat="1" applyFont="1" applyFill="1" applyBorder="1" applyAlignment="1">
      <alignment/>
    </xf>
    <xf numFmtId="0" fontId="80" fillId="40" borderId="22" xfId="0" applyFont="1" applyFill="1" applyBorder="1" applyAlignment="1">
      <alignment/>
    </xf>
    <xf numFmtId="0" fontId="81" fillId="40" borderId="0" xfId="0" applyFont="1" applyFill="1" applyAlignment="1">
      <alignment/>
    </xf>
    <xf numFmtId="0" fontId="79" fillId="40" borderId="11" xfId="0" applyFont="1" applyFill="1" applyBorder="1" applyAlignment="1">
      <alignment/>
    </xf>
    <xf numFmtId="0" fontId="79" fillId="40" borderId="20" xfId="0" applyFont="1" applyFill="1" applyBorder="1" applyAlignment="1">
      <alignment/>
    </xf>
    <xf numFmtId="0" fontId="79" fillId="40" borderId="23" xfId="0" applyFont="1" applyFill="1" applyBorder="1" applyAlignment="1">
      <alignment/>
    </xf>
    <xf numFmtId="0" fontId="79" fillId="40" borderId="24" xfId="0" applyFont="1" applyFill="1" applyBorder="1" applyAlignment="1">
      <alignment/>
    </xf>
    <xf numFmtId="0" fontId="79" fillId="40" borderId="0" xfId="0" applyFont="1" applyFill="1" applyBorder="1" applyAlignment="1">
      <alignment/>
    </xf>
    <xf numFmtId="0" fontId="80" fillId="40" borderId="11" xfId="0" applyFont="1" applyFill="1" applyBorder="1" applyAlignment="1">
      <alignment vertical="top"/>
    </xf>
    <xf numFmtId="0" fontId="80" fillId="40" borderId="11" xfId="0" applyFont="1" applyFill="1" applyBorder="1" applyAlignment="1">
      <alignment horizontal="center" vertical="center"/>
    </xf>
    <xf numFmtId="0" fontId="80" fillId="40" borderId="20" xfId="0" applyFont="1" applyFill="1" applyBorder="1" applyAlignment="1">
      <alignment horizontal="center" vertical="center"/>
    </xf>
    <xf numFmtId="164" fontId="80" fillId="40" borderId="23" xfId="0" applyNumberFormat="1" applyFont="1" applyFill="1" applyBorder="1" applyAlignment="1">
      <alignment horizontal="center" vertical="center"/>
    </xf>
    <xf numFmtId="164" fontId="80" fillId="40" borderId="24" xfId="0" applyNumberFormat="1" applyFont="1" applyFill="1" applyBorder="1" applyAlignment="1">
      <alignment horizontal="center" vertical="center"/>
    </xf>
    <xf numFmtId="0" fontId="80" fillId="40" borderId="13" xfId="0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 horizontal="center" vertical="center" wrapText="1"/>
    </xf>
    <xf numFmtId="0" fontId="80" fillId="40" borderId="0" xfId="0" applyFont="1" applyFill="1" applyBorder="1" applyAlignment="1">
      <alignment horizontal="center" vertical="center"/>
    </xf>
    <xf numFmtId="0" fontId="80" fillId="40" borderId="16" xfId="0" applyFont="1" applyFill="1" applyBorder="1" applyAlignment="1">
      <alignment vertical="top"/>
    </xf>
    <xf numFmtId="0" fontId="80" fillId="40" borderId="16" xfId="0" applyFont="1" applyFill="1" applyBorder="1" applyAlignment="1">
      <alignment horizontal="center" vertical="center"/>
    </xf>
    <xf numFmtId="1" fontId="80" fillId="40" borderId="25" xfId="0" applyNumberFormat="1" applyFont="1" applyFill="1" applyBorder="1" applyAlignment="1">
      <alignment horizontal="center" vertical="center"/>
    </xf>
    <xf numFmtId="0" fontId="80" fillId="40" borderId="17" xfId="0" applyFont="1" applyFill="1" applyBorder="1" applyAlignment="1">
      <alignment/>
    </xf>
    <xf numFmtId="164" fontId="80" fillId="40" borderId="26" xfId="0" applyNumberFormat="1" applyFont="1" applyFill="1" applyBorder="1" applyAlignment="1">
      <alignment horizontal="center" vertical="center"/>
    </xf>
    <xf numFmtId="0" fontId="80" fillId="40" borderId="25" xfId="0" applyFont="1" applyFill="1" applyBorder="1" applyAlignment="1">
      <alignment horizontal="center" vertical="center"/>
    </xf>
    <xf numFmtId="164" fontId="80" fillId="40" borderId="27" xfId="0" applyNumberFormat="1" applyFont="1" applyFill="1" applyBorder="1" applyAlignment="1">
      <alignment horizontal="center" vertical="center"/>
    </xf>
    <xf numFmtId="0" fontId="80" fillId="40" borderId="17" xfId="0" applyFont="1" applyFill="1" applyBorder="1" applyAlignment="1">
      <alignment horizontal="center" vertical="center"/>
    </xf>
    <xf numFmtId="0" fontId="80" fillId="40" borderId="13" xfId="0" applyFont="1" applyFill="1" applyBorder="1" applyAlignment="1">
      <alignment vertical="top"/>
    </xf>
    <xf numFmtId="1" fontId="80" fillId="40" borderId="13" xfId="0" applyNumberFormat="1" applyFont="1" applyFill="1" applyBorder="1" applyAlignment="1">
      <alignment horizontal="center" vertical="center"/>
    </xf>
    <xf numFmtId="164" fontId="80" fillId="40" borderId="13" xfId="0" applyNumberFormat="1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/>
    </xf>
    <xf numFmtId="0" fontId="80" fillId="40" borderId="0" xfId="0" applyFont="1" applyFill="1" applyBorder="1" applyAlignment="1">
      <alignment horizontal="center"/>
    </xf>
    <xf numFmtId="164" fontId="80" fillId="41" borderId="13" xfId="0" applyNumberFormat="1" applyFont="1" applyFill="1" applyBorder="1" applyAlignment="1">
      <alignment horizontal="center"/>
    </xf>
    <xf numFmtId="0" fontId="79" fillId="40" borderId="16" xfId="0" applyFont="1" applyFill="1" applyBorder="1" applyAlignment="1">
      <alignment/>
    </xf>
    <xf numFmtId="0" fontId="82" fillId="40" borderId="16" xfId="0" applyFont="1" applyFill="1" applyBorder="1" applyAlignment="1">
      <alignment/>
    </xf>
    <xf numFmtId="165" fontId="80" fillId="40" borderId="13" xfId="0" applyNumberFormat="1" applyFont="1" applyFill="1" applyBorder="1" applyAlignment="1">
      <alignment horizontal="center" vertical="center"/>
    </xf>
    <xf numFmtId="3" fontId="80" fillId="40" borderId="13" xfId="0" applyNumberFormat="1" applyFont="1" applyFill="1" applyBorder="1" applyAlignment="1">
      <alignment horizontal="center" vertical="center"/>
    </xf>
    <xf numFmtId="170" fontId="80" fillId="40" borderId="13" xfId="0" applyNumberFormat="1" applyFont="1" applyFill="1" applyBorder="1" applyAlignment="1">
      <alignment/>
    </xf>
    <xf numFmtId="4" fontId="80" fillId="40" borderId="13" xfId="0" applyNumberFormat="1" applyFont="1" applyFill="1" applyBorder="1" applyAlignment="1">
      <alignment horizontal="center" vertical="center"/>
    </xf>
    <xf numFmtId="4" fontId="80" fillId="40" borderId="13" xfId="0" applyNumberFormat="1" applyFont="1" applyFill="1" applyBorder="1" applyAlignment="1">
      <alignment/>
    </xf>
    <xf numFmtId="2" fontId="80" fillId="40" borderId="13" xfId="0" applyNumberFormat="1" applyFont="1" applyFill="1" applyBorder="1" applyAlignment="1">
      <alignment/>
    </xf>
    <xf numFmtId="2" fontId="80" fillId="40" borderId="0" xfId="0" applyNumberFormat="1" applyFont="1" applyFill="1" applyBorder="1" applyAlignment="1">
      <alignment/>
    </xf>
    <xf numFmtId="164" fontId="80" fillId="40" borderId="0" xfId="0" applyNumberFormat="1" applyFont="1" applyFill="1" applyAlignment="1">
      <alignment/>
    </xf>
    <xf numFmtId="1" fontId="80" fillId="40" borderId="0" xfId="0" applyNumberFormat="1" applyFont="1" applyFill="1" applyAlignment="1">
      <alignment/>
    </xf>
    <xf numFmtId="0" fontId="83" fillId="40" borderId="0" xfId="0" applyFont="1" applyFill="1" applyAlignment="1">
      <alignment/>
    </xf>
    <xf numFmtId="0" fontId="84" fillId="40" borderId="0" xfId="0" applyFont="1" applyFill="1" applyAlignment="1">
      <alignment/>
    </xf>
    <xf numFmtId="0" fontId="84" fillId="40" borderId="0" xfId="0" applyFont="1" applyFill="1" applyBorder="1" applyAlignment="1">
      <alignment/>
    </xf>
    <xf numFmtId="0" fontId="85" fillId="40" borderId="0" xfId="0" applyFont="1" applyFill="1" applyAlignment="1">
      <alignment/>
    </xf>
    <xf numFmtId="0" fontId="86" fillId="40" borderId="0" xfId="0" applyFont="1" applyFill="1" applyAlignment="1">
      <alignment/>
    </xf>
    <xf numFmtId="0" fontId="85" fillId="40" borderId="13" xfId="0" applyFont="1" applyFill="1" applyBorder="1" applyAlignment="1">
      <alignment/>
    </xf>
    <xf numFmtId="0" fontId="85" fillId="41" borderId="13" xfId="0" applyFont="1" applyFill="1" applyBorder="1" applyAlignment="1">
      <alignment/>
    </xf>
    <xf numFmtId="0" fontId="85" fillId="41" borderId="17" xfId="0" applyFont="1" applyFill="1" applyBorder="1" applyAlignment="1">
      <alignment/>
    </xf>
    <xf numFmtId="0" fontId="86" fillId="41" borderId="17" xfId="0" applyFont="1" applyFill="1" applyBorder="1" applyAlignment="1">
      <alignment/>
    </xf>
    <xf numFmtId="0" fontId="86" fillId="40" borderId="13" xfId="0" applyFont="1" applyFill="1" applyBorder="1" applyAlignment="1">
      <alignment/>
    </xf>
    <xf numFmtId="1" fontId="86" fillId="40" borderId="18" xfId="0" applyNumberFormat="1" applyFont="1" applyFill="1" applyBorder="1" applyAlignment="1">
      <alignment/>
    </xf>
    <xf numFmtId="0" fontId="86" fillId="40" borderId="22" xfId="0" applyFont="1" applyFill="1" applyBorder="1" applyAlignment="1">
      <alignment/>
    </xf>
    <xf numFmtId="0" fontId="87" fillId="40" borderId="0" xfId="0" applyFont="1" applyFill="1" applyAlignment="1">
      <alignment/>
    </xf>
    <xf numFmtId="0" fontId="85" fillId="40" borderId="0" xfId="0" applyFont="1" applyFill="1" applyBorder="1" applyAlignment="1">
      <alignment/>
    </xf>
    <xf numFmtId="0" fontId="86" fillId="40" borderId="13" xfId="0" applyFont="1" applyFill="1" applyBorder="1" applyAlignment="1">
      <alignment horizontal="center" vertical="center"/>
    </xf>
    <xf numFmtId="0" fontId="86" fillId="40" borderId="0" xfId="0" applyFont="1" applyFill="1" applyBorder="1" applyAlignment="1">
      <alignment horizontal="center" vertical="center" wrapText="1"/>
    </xf>
    <xf numFmtId="0" fontId="86" fillId="40" borderId="0" xfId="0" applyFont="1" applyFill="1" applyBorder="1" applyAlignment="1">
      <alignment horizontal="center" vertical="center"/>
    </xf>
    <xf numFmtId="0" fontId="86" fillId="40" borderId="16" xfId="0" applyFont="1" applyFill="1" applyBorder="1" applyAlignment="1">
      <alignment vertical="top"/>
    </xf>
    <xf numFmtId="0" fontId="86" fillId="40" borderId="16" xfId="0" applyFont="1" applyFill="1" applyBorder="1" applyAlignment="1">
      <alignment horizontal="center" vertical="center"/>
    </xf>
    <xf numFmtId="1" fontId="86" fillId="40" borderId="25" xfId="0" applyNumberFormat="1" applyFont="1" applyFill="1" applyBorder="1" applyAlignment="1">
      <alignment horizontal="center" vertical="center"/>
    </xf>
    <xf numFmtId="0" fontId="86" fillId="40" borderId="17" xfId="0" applyFont="1" applyFill="1" applyBorder="1" applyAlignment="1">
      <alignment/>
    </xf>
    <xf numFmtId="164" fontId="86" fillId="40" borderId="26" xfId="0" applyNumberFormat="1" applyFont="1" applyFill="1" applyBorder="1" applyAlignment="1">
      <alignment horizontal="center" vertical="center"/>
    </xf>
    <xf numFmtId="0" fontId="86" fillId="40" borderId="25" xfId="0" applyFont="1" applyFill="1" applyBorder="1" applyAlignment="1">
      <alignment horizontal="center" vertical="center"/>
    </xf>
    <xf numFmtId="164" fontId="86" fillId="40" borderId="27" xfId="0" applyNumberFormat="1" applyFont="1" applyFill="1" applyBorder="1" applyAlignment="1">
      <alignment horizontal="center" vertical="center"/>
    </xf>
    <xf numFmtId="0" fontId="86" fillId="40" borderId="17" xfId="0" applyFont="1" applyFill="1" applyBorder="1" applyAlignment="1">
      <alignment horizontal="center" vertical="center"/>
    </xf>
    <xf numFmtId="0" fontId="86" fillId="40" borderId="13" xfId="0" applyFont="1" applyFill="1" applyBorder="1" applyAlignment="1">
      <alignment vertical="top"/>
    </xf>
    <xf numFmtId="1" fontId="86" fillId="40" borderId="13" xfId="0" applyNumberFormat="1" applyFont="1" applyFill="1" applyBorder="1" applyAlignment="1">
      <alignment horizontal="center" vertical="center"/>
    </xf>
    <xf numFmtId="164" fontId="86" fillId="40" borderId="13" xfId="0" applyNumberFormat="1" applyFont="1" applyFill="1" applyBorder="1" applyAlignment="1">
      <alignment horizontal="center" vertical="center"/>
    </xf>
    <xf numFmtId="0" fontId="86" fillId="40" borderId="0" xfId="0" applyFont="1" applyFill="1" applyBorder="1" applyAlignment="1">
      <alignment/>
    </xf>
    <xf numFmtId="0" fontId="86" fillId="40" borderId="0" xfId="0" applyFont="1" applyFill="1" applyBorder="1" applyAlignment="1">
      <alignment horizontal="center"/>
    </xf>
    <xf numFmtId="164" fontId="86" fillId="41" borderId="13" xfId="0" applyNumberFormat="1" applyFont="1" applyFill="1" applyBorder="1" applyAlignment="1">
      <alignment horizontal="center"/>
    </xf>
    <xf numFmtId="165" fontId="86" fillId="40" borderId="13" xfId="0" applyNumberFormat="1" applyFont="1" applyFill="1" applyBorder="1" applyAlignment="1">
      <alignment horizontal="center" vertical="center"/>
    </xf>
    <xf numFmtId="3" fontId="86" fillId="40" borderId="13" xfId="0" applyNumberFormat="1" applyFont="1" applyFill="1" applyBorder="1" applyAlignment="1">
      <alignment horizontal="center" vertical="center"/>
    </xf>
    <xf numFmtId="170" fontId="86" fillId="40" borderId="13" xfId="0" applyNumberFormat="1" applyFont="1" applyFill="1" applyBorder="1" applyAlignment="1">
      <alignment/>
    </xf>
    <xf numFmtId="4" fontId="86" fillId="40" borderId="13" xfId="0" applyNumberFormat="1" applyFont="1" applyFill="1" applyBorder="1" applyAlignment="1">
      <alignment horizontal="center" vertical="center"/>
    </xf>
    <xf numFmtId="4" fontId="86" fillId="40" borderId="13" xfId="0" applyNumberFormat="1" applyFont="1" applyFill="1" applyBorder="1" applyAlignment="1">
      <alignment/>
    </xf>
    <xf numFmtId="2" fontId="86" fillId="40" borderId="13" xfId="0" applyNumberFormat="1" applyFont="1" applyFill="1" applyBorder="1" applyAlignment="1">
      <alignment/>
    </xf>
    <xf numFmtId="2" fontId="86" fillId="40" borderId="0" xfId="0" applyNumberFormat="1" applyFont="1" applyFill="1" applyBorder="1" applyAlignment="1">
      <alignment/>
    </xf>
    <xf numFmtId="164" fontId="86" fillId="40" borderId="0" xfId="0" applyNumberFormat="1" applyFont="1" applyFill="1" applyAlignment="1">
      <alignment/>
    </xf>
    <xf numFmtId="1" fontId="86" fillId="40" borderId="0" xfId="0" applyNumberFormat="1" applyFont="1" applyFill="1" applyAlignment="1">
      <alignment/>
    </xf>
    <xf numFmtId="0" fontId="86" fillId="40" borderId="28" xfId="0" applyFont="1" applyFill="1" applyBorder="1" applyAlignment="1">
      <alignment/>
    </xf>
    <xf numFmtId="165" fontId="86" fillId="40" borderId="28" xfId="0" applyNumberFormat="1" applyFont="1" applyFill="1" applyBorder="1" applyAlignment="1">
      <alignment horizontal="center" vertical="center"/>
    </xf>
    <xf numFmtId="0" fontId="86" fillId="40" borderId="28" xfId="0" applyFont="1" applyFill="1" applyBorder="1" applyAlignment="1">
      <alignment horizontal="center" vertical="center"/>
    </xf>
    <xf numFmtId="3" fontId="86" fillId="40" borderId="28" xfId="0" applyNumberFormat="1" applyFont="1" applyFill="1" applyBorder="1" applyAlignment="1">
      <alignment horizontal="center" vertical="center"/>
    </xf>
    <xf numFmtId="170" fontId="86" fillId="40" borderId="28" xfId="0" applyNumberFormat="1" applyFont="1" applyFill="1" applyBorder="1" applyAlignment="1">
      <alignment/>
    </xf>
    <xf numFmtId="4" fontId="86" fillId="40" borderId="28" xfId="0" applyNumberFormat="1" applyFont="1" applyFill="1" applyBorder="1" applyAlignment="1">
      <alignment horizontal="center" vertical="center"/>
    </xf>
    <xf numFmtId="4" fontId="86" fillId="40" borderId="28" xfId="0" applyNumberFormat="1" applyFont="1" applyFill="1" applyBorder="1" applyAlignment="1">
      <alignment/>
    </xf>
    <xf numFmtId="2" fontId="86" fillId="40" borderId="28" xfId="0" applyNumberFormat="1" applyFont="1" applyFill="1" applyBorder="1" applyAlignment="1">
      <alignment/>
    </xf>
    <xf numFmtId="0" fontId="86" fillId="40" borderId="12" xfId="0" applyFont="1" applyFill="1" applyBorder="1" applyAlignment="1">
      <alignment vertical="top"/>
    </xf>
    <xf numFmtId="0" fontId="86" fillId="40" borderId="12" xfId="0" applyFont="1" applyFill="1" applyBorder="1" applyAlignment="1">
      <alignment horizontal="center" vertical="center"/>
    </xf>
    <xf numFmtId="0" fontId="86" fillId="40" borderId="19" xfId="0" applyFont="1" applyFill="1" applyBorder="1" applyAlignment="1">
      <alignment horizontal="center" vertical="center"/>
    </xf>
    <xf numFmtId="164" fontId="86" fillId="40" borderId="29" xfId="0" applyNumberFormat="1" applyFont="1" applyFill="1" applyBorder="1" applyAlignment="1">
      <alignment horizontal="center" vertical="center"/>
    </xf>
    <xf numFmtId="164" fontId="86" fillId="40" borderId="30" xfId="0" applyNumberFormat="1" applyFont="1" applyFill="1" applyBorder="1" applyAlignment="1">
      <alignment horizontal="center" vertical="center"/>
    </xf>
    <xf numFmtId="0" fontId="85" fillId="40" borderId="31" xfId="0" applyFont="1" applyFill="1" applyBorder="1" applyAlignment="1">
      <alignment horizontal="center"/>
    </xf>
    <xf numFmtId="0" fontId="85" fillId="40" borderId="32" xfId="0" applyFont="1" applyFill="1" applyBorder="1" applyAlignment="1">
      <alignment horizontal="center"/>
    </xf>
    <xf numFmtId="0" fontId="85" fillId="40" borderId="33" xfId="0" applyFont="1" applyFill="1" applyBorder="1" applyAlignment="1">
      <alignment horizontal="center"/>
    </xf>
    <xf numFmtId="0" fontId="41" fillId="40" borderId="34" xfId="0" applyFont="1" applyFill="1" applyBorder="1" applyAlignment="1">
      <alignment horizontal="center"/>
    </xf>
    <xf numFmtId="0" fontId="85" fillId="40" borderId="35" xfId="0" applyFont="1" applyFill="1" applyBorder="1" applyAlignment="1">
      <alignment horizontal="center"/>
    </xf>
    <xf numFmtId="0" fontId="85" fillId="40" borderId="34" xfId="0" applyFont="1" applyFill="1" applyBorder="1" applyAlignment="1">
      <alignment horizontal="center"/>
    </xf>
    <xf numFmtId="0" fontId="85" fillId="40" borderId="36" xfId="0" applyFont="1" applyFill="1" applyBorder="1" applyAlignment="1">
      <alignment horizontal="center"/>
    </xf>
    <xf numFmtId="0" fontId="85" fillId="40" borderId="37" xfId="0" applyFont="1" applyFill="1" applyBorder="1" applyAlignment="1">
      <alignment horizontal="center"/>
    </xf>
    <xf numFmtId="0" fontId="85" fillId="40" borderId="38" xfId="0" applyFont="1" applyFill="1" applyBorder="1" applyAlignment="1">
      <alignment horizontal="center"/>
    </xf>
    <xf numFmtId="0" fontId="85" fillId="40" borderId="39" xfId="0" applyFont="1" applyFill="1" applyBorder="1" applyAlignment="1">
      <alignment horizontal="center"/>
    </xf>
    <xf numFmtId="0" fontId="85" fillId="40" borderId="40" xfId="0" applyFont="1" applyFill="1" applyBorder="1" applyAlignment="1">
      <alignment horizontal="center"/>
    </xf>
    <xf numFmtId="0" fontId="85" fillId="40" borderId="41" xfId="0" applyFont="1" applyFill="1" applyBorder="1" applyAlignment="1">
      <alignment horizontal="center"/>
    </xf>
    <xf numFmtId="0" fontId="85" fillId="40" borderId="42" xfId="0" applyFont="1" applyFill="1" applyBorder="1" applyAlignment="1">
      <alignment horizontal="center"/>
    </xf>
    <xf numFmtId="0" fontId="85" fillId="40" borderId="43" xfId="0" applyFont="1" applyFill="1" applyBorder="1" applyAlignment="1">
      <alignment horizontal="center"/>
    </xf>
    <xf numFmtId="0" fontId="85" fillId="40" borderId="44" xfId="0" applyFont="1" applyFill="1" applyBorder="1" applyAlignment="1">
      <alignment horizontal="center"/>
    </xf>
    <xf numFmtId="0" fontId="85" fillId="40" borderId="45" xfId="0" applyFont="1" applyFill="1" applyBorder="1" applyAlignment="1">
      <alignment horizontal="center"/>
    </xf>
    <xf numFmtId="0" fontId="41" fillId="40" borderId="37" xfId="0" applyFont="1" applyFill="1" applyBorder="1" applyAlignment="1">
      <alignment horizontal="center"/>
    </xf>
    <xf numFmtId="0" fontId="85" fillId="40" borderId="46" xfId="0" applyFont="1" applyFill="1" applyBorder="1" applyAlignment="1">
      <alignment horizontal="center"/>
    </xf>
    <xf numFmtId="0" fontId="41" fillId="40" borderId="44" xfId="0" applyFont="1" applyFill="1" applyBorder="1" applyAlignment="1">
      <alignment horizontal="center"/>
    </xf>
    <xf numFmtId="0" fontId="88" fillId="40" borderId="13" xfId="0" applyFont="1" applyFill="1" applyBorder="1" applyAlignment="1">
      <alignment/>
    </xf>
    <xf numFmtId="0" fontId="86" fillId="40" borderId="0" xfId="0" applyFont="1" applyFill="1" applyAlignment="1">
      <alignment horizontal="right"/>
    </xf>
    <xf numFmtId="4" fontId="86" fillId="40" borderId="0" xfId="0" applyNumberFormat="1" applyFont="1" applyFill="1" applyAlignment="1">
      <alignment/>
    </xf>
    <xf numFmtId="0" fontId="85" fillId="41" borderId="16" xfId="0" applyFont="1" applyFill="1" applyBorder="1" applyAlignment="1">
      <alignment/>
    </xf>
    <xf numFmtId="0" fontId="86" fillId="41" borderId="13" xfId="0" applyFont="1" applyFill="1" applyBorder="1" applyAlignment="1">
      <alignment/>
    </xf>
    <xf numFmtId="0" fontId="86" fillId="41" borderId="13" xfId="0" applyFont="1" applyFill="1" applyBorder="1" applyAlignment="1">
      <alignment horizontal="center"/>
    </xf>
    <xf numFmtId="0" fontId="86" fillId="41" borderId="18" xfId="0" applyFont="1" applyFill="1" applyBorder="1" applyAlignment="1">
      <alignment horizontal="center"/>
    </xf>
    <xf numFmtId="0" fontId="86" fillId="40" borderId="21" xfId="0" applyFont="1" applyFill="1" applyBorder="1" applyAlignment="1">
      <alignment/>
    </xf>
    <xf numFmtId="0" fontId="86" fillId="40" borderId="12" xfId="0" applyFont="1" applyFill="1" applyBorder="1" applyAlignment="1">
      <alignment/>
    </xf>
    <xf numFmtId="0" fontId="86" fillId="40" borderId="12" xfId="0" applyFont="1" applyFill="1" applyBorder="1" applyAlignment="1">
      <alignment horizontal="center"/>
    </xf>
    <xf numFmtId="3" fontId="86" fillId="40" borderId="19" xfId="0" applyNumberFormat="1" applyFont="1" applyFill="1" applyBorder="1" applyAlignment="1">
      <alignment horizontal="right"/>
    </xf>
    <xf numFmtId="0" fontId="86" fillId="40" borderId="11" xfId="0" applyFont="1" applyFill="1" applyBorder="1" applyAlignment="1">
      <alignment/>
    </xf>
    <xf numFmtId="0" fontId="86" fillId="40" borderId="11" xfId="0" applyFont="1" applyFill="1" applyBorder="1" applyAlignment="1">
      <alignment horizontal="center"/>
    </xf>
    <xf numFmtId="4" fontId="86" fillId="40" borderId="11" xfId="0" applyNumberFormat="1" applyFont="1" applyFill="1" applyBorder="1" applyAlignment="1">
      <alignment horizontal="center"/>
    </xf>
    <xf numFmtId="3" fontId="86" fillId="40" borderId="0" xfId="0" applyNumberFormat="1" applyFont="1" applyFill="1" applyBorder="1" applyAlignment="1">
      <alignment horizontal="left"/>
    </xf>
    <xf numFmtId="3" fontId="86" fillId="40" borderId="12" xfId="0" applyNumberFormat="1" applyFont="1" applyFill="1" applyBorder="1" applyAlignment="1">
      <alignment horizontal="right"/>
    </xf>
    <xf numFmtId="3" fontId="86" fillId="40" borderId="13" xfId="0" applyNumberFormat="1" applyFont="1" applyFill="1" applyBorder="1" applyAlignment="1">
      <alignment/>
    </xf>
    <xf numFmtId="0" fontId="86" fillId="40" borderId="0" xfId="0" applyFont="1" applyFill="1" applyBorder="1" applyAlignment="1">
      <alignment horizontal="right"/>
    </xf>
    <xf numFmtId="4" fontId="86" fillId="40" borderId="0" xfId="0" applyNumberFormat="1" applyFont="1" applyFill="1" applyBorder="1" applyAlignment="1">
      <alignment/>
    </xf>
    <xf numFmtId="0" fontId="85" fillId="41" borderId="0" xfId="0" applyFont="1" applyFill="1" applyAlignment="1">
      <alignment/>
    </xf>
    <xf numFmtId="0" fontId="86" fillId="41" borderId="0" xfId="0" applyFont="1" applyFill="1" applyAlignment="1">
      <alignment/>
    </xf>
    <xf numFmtId="0" fontId="86" fillId="40" borderId="0" xfId="0" applyFont="1" applyFill="1" applyAlignment="1">
      <alignment horizontal="center"/>
    </xf>
    <xf numFmtId="0" fontId="86" fillId="40" borderId="16" xfId="0" applyFont="1" applyFill="1" applyBorder="1" applyAlignment="1">
      <alignment/>
    </xf>
    <xf numFmtId="0" fontId="86" fillId="40" borderId="16" xfId="0" applyFont="1" applyFill="1" applyBorder="1" applyAlignment="1">
      <alignment horizontal="center"/>
    </xf>
    <xf numFmtId="4" fontId="86" fillId="40" borderId="16" xfId="0" applyNumberFormat="1" applyFont="1" applyFill="1" applyBorder="1" applyAlignment="1">
      <alignment horizontal="center"/>
    </xf>
    <xf numFmtId="0" fontId="86" fillId="40" borderId="47" xfId="0" applyFont="1" applyFill="1" applyBorder="1" applyAlignment="1">
      <alignment horizontal="center"/>
    </xf>
    <xf numFmtId="3" fontId="86" fillId="40" borderId="48" xfId="0" applyNumberFormat="1" applyFont="1" applyFill="1" applyBorder="1" applyAlignment="1">
      <alignment horizontal="right"/>
    </xf>
    <xf numFmtId="0" fontId="86" fillId="40" borderId="12" xfId="0" applyFont="1" applyFill="1" applyBorder="1" applyAlignment="1">
      <alignment horizontal="right"/>
    </xf>
    <xf numFmtId="3" fontId="86" fillId="40" borderId="47" xfId="0" applyNumberFormat="1" applyFont="1" applyFill="1" applyBorder="1" applyAlignment="1">
      <alignment horizontal="right"/>
    </xf>
    <xf numFmtId="0" fontId="86" fillId="40" borderId="49" xfId="0" applyFont="1" applyFill="1" applyBorder="1" applyAlignment="1">
      <alignment horizontal="right"/>
    </xf>
    <xf numFmtId="3" fontId="86" fillId="40" borderId="50" xfId="0" applyNumberFormat="1" applyFont="1" applyFill="1" applyBorder="1" applyAlignment="1">
      <alignment horizontal="right"/>
    </xf>
    <xf numFmtId="0" fontId="86" fillId="40" borderId="28" xfId="0" applyFont="1" applyFill="1" applyBorder="1" applyAlignment="1">
      <alignment horizontal="right"/>
    </xf>
    <xf numFmtId="3" fontId="86" fillId="40" borderId="28" xfId="0" applyNumberFormat="1" applyFont="1" applyFill="1" applyBorder="1" applyAlignment="1">
      <alignment/>
    </xf>
    <xf numFmtId="0" fontId="86" fillId="40" borderId="17" xfId="0" applyFont="1" applyFill="1" applyBorder="1" applyAlignment="1">
      <alignment horizontal="center"/>
    </xf>
    <xf numFmtId="3" fontId="86" fillId="40" borderId="17" xfId="0" applyNumberFormat="1" applyFont="1" applyFill="1" applyBorder="1" applyAlignment="1">
      <alignment horizontal="right"/>
    </xf>
    <xf numFmtId="0" fontId="86" fillId="6" borderId="45" xfId="0" applyFont="1" applyFill="1" applyBorder="1" applyAlignment="1">
      <alignment/>
    </xf>
    <xf numFmtId="0" fontId="86" fillId="6" borderId="34" xfId="0" applyFont="1" applyFill="1" applyBorder="1" applyAlignment="1">
      <alignment horizontal="center"/>
    </xf>
    <xf numFmtId="3" fontId="86" fillId="6" borderId="37" xfId="0" applyNumberFormat="1" applyFont="1" applyFill="1" applyBorder="1" applyAlignment="1">
      <alignment horizontal="right"/>
    </xf>
    <xf numFmtId="0" fontId="86" fillId="6" borderId="51" xfId="0" applyFont="1" applyFill="1" applyBorder="1" applyAlignment="1">
      <alignment/>
    </xf>
    <xf numFmtId="0" fontId="86" fillId="6" borderId="13" xfId="0" applyFont="1" applyFill="1" applyBorder="1" applyAlignment="1">
      <alignment horizontal="center"/>
    </xf>
    <xf numFmtId="3" fontId="86" fillId="6" borderId="52" xfId="0" applyNumberFormat="1" applyFont="1" applyFill="1" applyBorder="1" applyAlignment="1">
      <alignment horizontal="right"/>
    </xf>
    <xf numFmtId="0" fontId="86" fillId="6" borderId="46" xfId="0" applyFont="1" applyFill="1" applyBorder="1" applyAlignment="1">
      <alignment/>
    </xf>
    <xf numFmtId="0" fontId="86" fillId="6" borderId="41" xfId="0" applyFont="1" applyFill="1" applyBorder="1" applyAlignment="1">
      <alignment horizontal="center"/>
    </xf>
    <xf numFmtId="3" fontId="86" fillId="6" borderId="44" xfId="0" applyNumberFormat="1" applyFont="1" applyFill="1" applyBorder="1" applyAlignment="1">
      <alignment horizontal="right"/>
    </xf>
    <xf numFmtId="4" fontId="86" fillId="6" borderId="34" xfId="0" applyNumberFormat="1" applyFont="1" applyFill="1" applyBorder="1" applyAlignment="1">
      <alignment horizontal="center"/>
    </xf>
    <xf numFmtId="4" fontId="86" fillId="6" borderId="41" xfId="0" applyNumberFormat="1" applyFont="1" applyFill="1" applyBorder="1" applyAlignment="1">
      <alignment horizontal="center"/>
    </xf>
    <xf numFmtId="170" fontId="86" fillId="40" borderId="0" xfId="0" applyNumberFormat="1" applyFont="1" applyFill="1" applyAlignment="1">
      <alignment horizontal="right"/>
    </xf>
    <xf numFmtId="0" fontId="85" fillId="42" borderId="0" xfId="0" applyFont="1" applyFill="1" applyBorder="1" applyAlignment="1">
      <alignment horizontal="left"/>
    </xf>
    <xf numFmtId="0" fontId="85" fillId="41" borderId="0" xfId="0" applyFont="1" applyFill="1" applyAlignment="1">
      <alignment horizontal="left"/>
    </xf>
    <xf numFmtId="0" fontId="85" fillId="41" borderId="0" xfId="0" applyFont="1" applyFill="1" applyBorder="1" applyAlignment="1">
      <alignment horizontal="left"/>
    </xf>
    <xf numFmtId="0" fontId="85" fillId="6" borderId="0" xfId="0" applyFont="1" applyFill="1" applyAlignment="1">
      <alignment horizontal="left"/>
    </xf>
    <xf numFmtId="0" fontId="85" fillId="6" borderId="0" xfId="0" applyFont="1" applyFill="1" applyBorder="1" applyAlignment="1">
      <alignment horizontal="left"/>
    </xf>
    <xf numFmtId="0" fontId="86" fillId="42" borderId="0" xfId="0" applyFont="1" applyFill="1" applyAlignment="1">
      <alignment horizontal="left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Input" xfId="56"/>
    <cellStyle name="Comma" xfId="57"/>
    <cellStyle name="Comma [0]" xfId="58"/>
    <cellStyle name="Neutral" xfId="59"/>
    <cellStyle name="Neutrale" xfId="60"/>
    <cellStyle name="Nota" xfId="61"/>
    <cellStyle name="Note" xfId="62"/>
    <cellStyle name="Output" xfId="63"/>
    <cellStyle name="Percent" xfId="64"/>
    <cellStyle name="Result" xfId="65"/>
    <cellStyle name="Status" xfId="66"/>
    <cellStyle name="Testo avviso" xfId="67"/>
    <cellStyle name="Testo descrittivo" xfId="68"/>
    <cellStyle name="Text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Warning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75</xdr:row>
      <xdr:rowOff>0</xdr:rowOff>
    </xdr:from>
    <xdr:to>
      <xdr:col>12</xdr:col>
      <xdr:colOff>257175</xdr:colOff>
      <xdr:row>78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525250"/>
          <a:ext cx="1676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75</xdr:row>
      <xdr:rowOff>0</xdr:rowOff>
    </xdr:from>
    <xdr:to>
      <xdr:col>12</xdr:col>
      <xdr:colOff>257175</xdr:colOff>
      <xdr:row>78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525250"/>
          <a:ext cx="1676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64</xdr:row>
      <xdr:rowOff>9525</xdr:rowOff>
    </xdr:from>
    <xdr:to>
      <xdr:col>11</xdr:col>
      <xdr:colOff>323850</xdr:colOff>
      <xdr:row>67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277475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2</xdr:row>
      <xdr:rowOff>28575</xdr:rowOff>
    </xdr:from>
    <xdr:to>
      <xdr:col>18</xdr:col>
      <xdr:colOff>152400</xdr:colOff>
      <xdr:row>26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52425"/>
          <a:ext cx="545782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27</xdr:row>
      <xdr:rowOff>38100</xdr:rowOff>
    </xdr:from>
    <xdr:to>
      <xdr:col>18</xdr:col>
      <xdr:colOff>152400</xdr:colOff>
      <xdr:row>52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4410075"/>
          <a:ext cx="54578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152400</xdr:rowOff>
    </xdr:from>
    <xdr:to>
      <xdr:col>10</xdr:col>
      <xdr:colOff>333375</xdr:colOff>
      <xdr:row>101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582525"/>
          <a:ext cx="54387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67">
      <selection activeCell="C98" sqref="C98"/>
    </sheetView>
  </sheetViews>
  <sheetFormatPr defaultColWidth="9.140625" defaultRowHeight="12.75"/>
  <cols>
    <col min="1" max="1" width="10.421875" style="82" customWidth="1"/>
    <col min="2" max="2" width="8.00390625" style="82" customWidth="1"/>
    <col min="3" max="3" width="6.8515625" style="82" customWidth="1"/>
    <col min="4" max="4" width="5.421875" style="82" customWidth="1"/>
    <col min="5" max="5" width="6.8515625" style="82" customWidth="1"/>
    <col min="6" max="6" width="6.140625" style="82" customWidth="1"/>
    <col min="7" max="7" width="6.28125" style="82" customWidth="1"/>
    <col min="8" max="8" width="6.421875" style="82" customWidth="1"/>
    <col min="9" max="9" width="6.28125" style="82" customWidth="1"/>
    <col min="10" max="10" width="5.28125" style="82" customWidth="1"/>
    <col min="11" max="11" width="5.7109375" style="82" customWidth="1"/>
    <col min="12" max="12" width="4.7109375" style="82" customWidth="1"/>
    <col min="13" max="13" width="5.140625" style="82" customWidth="1"/>
    <col min="14" max="14" width="5.28125" style="82" customWidth="1"/>
    <col min="15" max="17" width="10.57421875" style="82" customWidth="1"/>
    <col min="18" max="16384" width="9.00390625" style="82" customWidth="1"/>
  </cols>
  <sheetData>
    <row r="1" spans="1:8" ht="12">
      <c r="A1" s="84" t="s">
        <v>86</v>
      </c>
      <c r="B1" s="85"/>
      <c r="C1" s="85"/>
      <c r="D1" s="85"/>
      <c r="E1" s="85"/>
      <c r="F1" s="85"/>
      <c r="G1" s="85"/>
      <c r="H1" s="85"/>
    </row>
    <row r="2" spans="1:8" ht="12">
      <c r="A2" s="85"/>
      <c r="B2" s="85"/>
      <c r="C2" s="85"/>
      <c r="D2" s="85"/>
      <c r="E2" s="85"/>
      <c r="F2" s="85"/>
      <c r="G2" s="85"/>
      <c r="H2" s="85"/>
    </row>
    <row r="3" spans="1:8" ht="12">
      <c r="A3" s="84" t="s">
        <v>3</v>
      </c>
      <c r="B3" s="85" t="s">
        <v>4</v>
      </c>
      <c r="C3" s="174" t="s">
        <v>87</v>
      </c>
      <c r="D3" s="174"/>
      <c r="E3" s="174"/>
      <c r="F3" s="85"/>
      <c r="G3" s="85"/>
      <c r="H3" s="85"/>
    </row>
    <row r="4" spans="1:8" ht="12">
      <c r="A4" s="85" t="s">
        <v>5</v>
      </c>
      <c r="B4" s="85">
        <v>20</v>
      </c>
      <c r="C4" s="85" t="s">
        <v>6</v>
      </c>
      <c r="D4" s="85"/>
      <c r="E4" s="85"/>
      <c r="F4" s="85"/>
      <c r="G4" s="85"/>
      <c r="H4" s="85"/>
    </row>
    <row r="5" spans="1:8" ht="12">
      <c r="A5" s="85" t="s">
        <v>7</v>
      </c>
      <c r="B5" s="85">
        <v>5.5</v>
      </c>
      <c r="C5" s="85" t="s">
        <v>6</v>
      </c>
      <c r="D5" s="85"/>
      <c r="E5" s="85"/>
      <c r="F5" s="85"/>
      <c r="G5" s="85"/>
      <c r="H5" s="85"/>
    </row>
    <row r="6" spans="1:8" ht="12">
      <c r="A6" s="85" t="s">
        <v>116</v>
      </c>
      <c r="B6" s="85">
        <f>B4-B5</f>
        <v>14.5</v>
      </c>
      <c r="C6" s="85" t="s">
        <v>6</v>
      </c>
      <c r="D6" s="85"/>
      <c r="E6" s="85"/>
      <c r="F6" s="85"/>
      <c r="G6" s="85"/>
      <c r="H6" s="85"/>
    </row>
    <row r="7" spans="1:8" ht="12">
      <c r="A7" s="85"/>
      <c r="B7" s="85"/>
      <c r="C7" s="85"/>
      <c r="D7" s="85"/>
      <c r="E7" s="85"/>
      <c r="F7" s="85"/>
      <c r="G7" s="85"/>
      <c r="H7" s="85"/>
    </row>
    <row r="8" spans="1:8" ht="12">
      <c r="A8" s="84" t="s">
        <v>37</v>
      </c>
      <c r="B8" s="85"/>
      <c r="C8" s="85"/>
      <c r="D8" s="85"/>
      <c r="E8" s="85"/>
      <c r="F8" s="85"/>
      <c r="G8" s="85"/>
      <c r="H8" s="85"/>
    </row>
    <row r="9" spans="1:8" ht="12">
      <c r="A9" s="85" t="s">
        <v>0</v>
      </c>
      <c r="B9" s="154">
        <v>0.89</v>
      </c>
      <c r="C9" s="85" t="s">
        <v>1</v>
      </c>
      <c r="D9" s="85"/>
      <c r="E9" s="85"/>
      <c r="F9" s="85"/>
      <c r="G9" s="85"/>
      <c r="H9" s="85"/>
    </row>
    <row r="10" spans="1:8" ht="12">
      <c r="A10" s="85" t="s">
        <v>2</v>
      </c>
      <c r="B10" s="85">
        <v>5</v>
      </c>
      <c r="C10" s="85" t="s">
        <v>1</v>
      </c>
      <c r="D10" s="85"/>
      <c r="E10" s="85"/>
      <c r="F10" s="85"/>
      <c r="G10" s="85"/>
      <c r="H10" s="85"/>
    </row>
    <row r="11" spans="1:8" ht="12">
      <c r="A11" s="85" t="s">
        <v>38</v>
      </c>
      <c r="B11" s="155">
        <v>2.71386430678466</v>
      </c>
      <c r="C11" s="85" t="s">
        <v>1</v>
      </c>
      <c r="D11" s="85"/>
      <c r="E11" s="85"/>
      <c r="F11" s="85"/>
      <c r="G11" s="85"/>
      <c r="H11" s="85"/>
    </row>
    <row r="12" spans="1:8" ht="12">
      <c r="A12" s="85" t="s">
        <v>45</v>
      </c>
      <c r="B12" s="85">
        <v>3</v>
      </c>
      <c r="C12" s="85" t="s">
        <v>44</v>
      </c>
      <c r="D12" s="85"/>
      <c r="E12" s="85"/>
      <c r="F12" s="85"/>
      <c r="G12" s="85"/>
      <c r="H12" s="85"/>
    </row>
    <row r="13" spans="1:8" ht="12">
      <c r="A13" s="85"/>
      <c r="B13" s="85"/>
      <c r="C13" s="85"/>
      <c r="D13" s="85"/>
      <c r="E13" s="85"/>
      <c r="F13" s="85"/>
      <c r="G13" s="85"/>
      <c r="H13" s="85"/>
    </row>
    <row r="14" spans="1:8" ht="12">
      <c r="A14" s="84" t="s">
        <v>46</v>
      </c>
      <c r="B14" s="85"/>
      <c r="C14" s="85"/>
      <c r="D14" s="85"/>
      <c r="E14" s="85"/>
      <c r="F14" s="85"/>
      <c r="G14" s="85"/>
      <c r="H14" s="85"/>
    </row>
    <row r="15" spans="1:8" ht="12">
      <c r="A15" s="85" t="s">
        <v>41</v>
      </c>
      <c r="B15" s="85">
        <f>0.55*10^-6</f>
        <v>5.5E-07</v>
      </c>
      <c r="C15" s="85" t="s">
        <v>42</v>
      </c>
      <c r="D15" s="85"/>
      <c r="E15" s="85"/>
      <c r="F15" s="85"/>
      <c r="G15" s="85"/>
      <c r="H15" s="85"/>
    </row>
    <row r="16" spans="1:8" ht="12">
      <c r="A16" s="85" t="s">
        <v>43</v>
      </c>
      <c r="B16" s="85">
        <f>7*10^-6</f>
        <v>7E-06</v>
      </c>
      <c r="C16" s="85" t="s">
        <v>44</v>
      </c>
      <c r="D16" s="85"/>
      <c r="E16" s="85"/>
      <c r="F16" s="85"/>
      <c r="G16" s="85"/>
      <c r="H16" s="85"/>
    </row>
    <row r="17" spans="1:8" ht="12">
      <c r="A17" s="85" t="s">
        <v>25</v>
      </c>
      <c r="B17" s="85">
        <v>4186</v>
      </c>
      <c r="C17" s="85" t="s">
        <v>47</v>
      </c>
      <c r="D17" s="85"/>
      <c r="E17" s="85"/>
      <c r="F17" s="85"/>
      <c r="G17" s="85"/>
      <c r="H17" s="85"/>
    </row>
    <row r="18" spans="1:8" ht="12">
      <c r="A18" s="85" t="s">
        <v>48</v>
      </c>
      <c r="B18" s="85">
        <v>1000</v>
      </c>
      <c r="C18" s="85" t="s">
        <v>49</v>
      </c>
      <c r="D18" s="85"/>
      <c r="E18" s="85"/>
      <c r="F18" s="85"/>
      <c r="G18" s="85"/>
      <c r="H18" s="85"/>
    </row>
    <row r="19" spans="1:8" ht="12">
      <c r="A19" s="85" t="s">
        <v>121</v>
      </c>
      <c r="B19" s="85">
        <v>1006</v>
      </c>
      <c r="C19" s="85" t="s">
        <v>47</v>
      </c>
      <c r="D19" s="85"/>
      <c r="E19" s="85"/>
      <c r="F19" s="85"/>
      <c r="G19" s="85"/>
      <c r="H19" s="85"/>
    </row>
    <row r="20" spans="1:8" ht="12">
      <c r="A20" s="85" t="s">
        <v>122</v>
      </c>
      <c r="B20" s="85">
        <v>1.2</v>
      </c>
      <c r="C20" s="85" t="s">
        <v>49</v>
      </c>
      <c r="D20" s="85"/>
      <c r="E20" s="85"/>
      <c r="F20" s="85"/>
      <c r="G20" s="85"/>
      <c r="H20" s="85"/>
    </row>
    <row r="21" spans="1:8" ht="12">
      <c r="A21" s="85"/>
      <c r="B21" s="85"/>
      <c r="C21" s="85"/>
      <c r="D21" s="85"/>
      <c r="E21" s="85"/>
      <c r="F21" s="85"/>
      <c r="G21" s="85"/>
      <c r="H21" s="85"/>
    </row>
    <row r="22" spans="1:8" ht="12">
      <c r="A22" s="203" t="s">
        <v>40</v>
      </c>
      <c r="B22" s="203"/>
      <c r="C22" s="203"/>
      <c r="D22" s="203"/>
      <c r="E22" s="203"/>
      <c r="F22" s="203"/>
      <c r="G22" s="203"/>
      <c r="H22" s="85"/>
    </row>
    <row r="23" spans="1:8" ht="12">
      <c r="A23" s="85"/>
      <c r="B23" s="85"/>
      <c r="C23" s="85"/>
      <c r="D23" s="85"/>
      <c r="E23" s="85"/>
      <c r="F23" s="85"/>
      <c r="G23" s="85"/>
      <c r="H23" s="85"/>
    </row>
    <row r="24" spans="1:8" ht="12">
      <c r="A24" s="156" t="s">
        <v>8</v>
      </c>
      <c r="B24" s="85"/>
      <c r="C24" s="85"/>
      <c r="D24" s="85"/>
      <c r="E24" s="85"/>
      <c r="F24" s="85"/>
      <c r="G24" s="85"/>
      <c r="H24" s="85"/>
    </row>
    <row r="25" spans="1:8" ht="12">
      <c r="A25" s="157" t="s">
        <v>9</v>
      </c>
      <c r="B25" s="158" t="s">
        <v>39</v>
      </c>
      <c r="C25" s="158" t="s">
        <v>10</v>
      </c>
      <c r="D25" s="158" t="s">
        <v>109</v>
      </c>
      <c r="E25" s="158" t="s">
        <v>110</v>
      </c>
      <c r="F25" s="158" t="s">
        <v>111</v>
      </c>
      <c r="G25" s="159" t="s">
        <v>14</v>
      </c>
      <c r="H25" s="160"/>
    </row>
    <row r="26" spans="1:8" ht="12">
      <c r="A26" s="161" t="s">
        <v>15</v>
      </c>
      <c r="B26" s="162">
        <f>1.2*3-0.5</f>
        <v>3.0999999999999996</v>
      </c>
      <c r="C26" s="162">
        <f>$B$9</f>
        <v>0.89</v>
      </c>
      <c r="D26" s="162">
        <v>1.2</v>
      </c>
      <c r="E26" s="162">
        <v>1.2</v>
      </c>
      <c r="F26" s="162">
        <f>$B$4-$B$5</f>
        <v>14.5</v>
      </c>
      <c r="G26" s="163">
        <f>C26*B26*F26*D26*E26</f>
        <v>57.60791999999999</v>
      </c>
      <c r="H26" s="160"/>
    </row>
    <row r="27" spans="1:8" ht="12.75" thickBot="1">
      <c r="A27" s="175" t="s">
        <v>17</v>
      </c>
      <c r="B27" s="176">
        <v>0.5</v>
      </c>
      <c r="C27" s="177">
        <f>$B$11</f>
        <v>2.71386430678466</v>
      </c>
      <c r="D27" s="176">
        <v>1.2</v>
      </c>
      <c r="E27" s="176">
        <v>1.2</v>
      </c>
      <c r="F27" s="178">
        <f>$B$4-$B$5</f>
        <v>14.5</v>
      </c>
      <c r="G27" s="179">
        <f>C27*B27*F27*D27*E27</f>
        <v>28.332743362831845</v>
      </c>
      <c r="H27" s="160"/>
    </row>
    <row r="28" spans="1:8" ht="12">
      <c r="A28" s="188" t="s">
        <v>117</v>
      </c>
      <c r="B28" s="189">
        <v>8</v>
      </c>
      <c r="C28" s="197" t="s">
        <v>120</v>
      </c>
      <c r="D28" s="189"/>
      <c r="E28" s="189"/>
      <c r="F28" s="189"/>
      <c r="G28" s="190"/>
      <c r="H28" s="109"/>
    </row>
    <row r="29" spans="1:8" ht="12.75" thickBot="1">
      <c r="A29" s="194" t="s">
        <v>115</v>
      </c>
      <c r="B29" s="195">
        <f>1.2*1.8*3</f>
        <v>6.48</v>
      </c>
      <c r="C29" s="198" t="s">
        <v>123</v>
      </c>
      <c r="D29" s="195"/>
      <c r="E29" s="195"/>
      <c r="F29" s="195"/>
      <c r="G29" s="196">
        <f>B20*B28*B29/3600*B19*B6</f>
        <v>252.06336000000002</v>
      </c>
      <c r="H29" s="109"/>
    </row>
    <row r="30" spans="1:8" ht="12">
      <c r="A30" s="85"/>
      <c r="B30" s="85"/>
      <c r="C30" s="85"/>
      <c r="D30" s="85"/>
      <c r="E30" s="85"/>
      <c r="F30" s="180" t="s">
        <v>18</v>
      </c>
      <c r="G30" s="163">
        <f>SUM(G26:G29)</f>
        <v>338.00402336283184</v>
      </c>
      <c r="H30" s="160"/>
    </row>
    <row r="31" spans="1:8" ht="12">
      <c r="A31" s="85" t="s">
        <v>125</v>
      </c>
      <c r="B31" s="85"/>
      <c r="C31" s="85"/>
      <c r="D31" s="85"/>
      <c r="E31" s="85"/>
      <c r="F31" s="110">
        <v>600</v>
      </c>
      <c r="G31" s="167" t="s">
        <v>16</v>
      </c>
      <c r="H31" s="109"/>
    </row>
    <row r="32" spans="1:8" ht="12">
      <c r="A32" s="85"/>
      <c r="B32" s="85"/>
      <c r="C32" s="85"/>
      <c r="D32" s="85"/>
      <c r="E32" s="85"/>
      <c r="F32" s="85"/>
      <c r="G32" s="85"/>
      <c r="H32" s="85"/>
    </row>
    <row r="33" spans="1:8" ht="12">
      <c r="A33" s="87" t="s">
        <v>19</v>
      </c>
      <c r="B33" s="157"/>
      <c r="C33" s="109"/>
      <c r="D33" s="85"/>
      <c r="E33" s="85"/>
      <c r="F33" s="85"/>
      <c r="G33" s="85"/>
      <c r="H33" s="85"/>
    </row>
    <row r="34" spans="1:8" ht="12">
      <c r="A34" s="157" t="s">
        <v>9</v>
      </c>
      <c r="B34" s="158" t="s">
        <v>39</v>
      </c>
      <c r="C34" s="158" t="s">
        <v>10</v>
      </c>
      <c r="D34" s="158" t="s">
        <v>109</v>
      </c>
      <c r="E34" s="158" t="s">
        <v>110</v>
      </c>
      <c r="F34" s="158" t="s">
        <v>111</v>
      </c>
      <c r="G34" s="158" t="s">
        <v>14</v>
      </c>
      <c r="H34" s="160"/>
    </row>
    <row r="35" spans="1:8" ht="12">
      <c r="A35" s="161" t="s">
        <v>15</v>
      </c>
      <c r="B35" s="162">
        <f>2.22*3</f>
        <v>6.66</v>
      </c>
      <c r="C35" s="162">
        <f>$B$9</f>
        <v>0.89</v>
      </c>
      <c r="D35" s="162">
        <v>1.2</v>
      </c>
      <c r="E35" s="162">
        <v>1.2</v>
      </c>
      <c r="F35" s="162">
        <f>$B$4-$B$5</f>
        <v>14.5</v>
      </c>
      <c r="G35" s="168">
        <f>C35*B35*F35*D35*E35</f>
        <v>123.76411200000001</v>
      </c>
      <c r="H35" s="160"/>
    </row>
    <row r="36" spans="1:8" ht="12">
      <c r="A36" s="175" t="s">
        <v>20</v>
      </c>
      <c r="B36" s="176">
        <v>1.2</v>
      </c>
      <c r="C36" s="177">
        <f>$B$11</f>
        <v>2.71386430678466</v>
      </c>
      <c r="D36" s="176">
        <v>1</v>
      </c>
      <c r="E36" s="176">
        <v>1.2</v>
      </c>
      <c r="F36" s="178">
        <f>$B$4-$B$5</f>
        <v>14.5</v>
      </c>
      <c r="G36" s="181">
        <f>C36*B36*F36*D36*E36</f>
        <v>56.6654867256637</v>
      </c>
      <c r="H36" s="160"/>
    </row>
    <row r="37" spans="1:8" ht="12.75" thickBot="1">
      <c r="A37" s="101" t="s">
        <v>21</v>
      </c>
      <c r="B37" s="186">
        <f>3.5*3-B36</f>
        <v>9.3</v>
      </c>
      <c r="C37" s="186">
        <f>$B$9</f>
        <v>0.89</v>
      </c>
      <c r="D37" s="186">
        <v>1</v>
      </c>
      <c r="E37" s="186">
        <v>1.2</v>
      </c>
      <c r="F37" s="186">
        <f>$B$4-$B$5</f>
        <v>14.5</v>
      </c>
      <c r="G37" s="187">
        <f>C37*B37*F37*D37*E37</f>
        <v>144.0198</v>
      </c>
      <c r="H37" s="160"/>
    </row>
    <row r="38" spans="1:8" ht="12">
      <c r="A38" s="188" t="s">
        <v>117</v>
      </c>
      <c r="B38" s="189">
        <v>30</v>
      </c>
      <c r="C38" s="189" t="s">
        <v>118</v>
      </c>
      <c r="D38" s="189"/>
      <c r="E38" s="189"/>
      <c r="F38" s="189"/>
      <c r="G38" s="190"/>
      <c r="H38" s="109"/>
    </row>
    <row r="39" spans="1:8" ht="12">
      <c r="A39" s="191" t="s">
        <v>119</v>
      </c>
      <c r="B39" s="192">
        <v>3</v>
      </c>
      <c r="C39" s="192"/>
      <c r="D39" s="192"/>
      <c r="E39" s="192"/>
      <c r="F39" s="192"/>
      <c r="G39" s="193"/>
      <c r="H39" s="109"/>
    </row>
    <row r="40" spans="1:8" ht="12.75" thickBot="1">
      <c r="A40" s="194" t="s">
        <v>115</v>
      </c>
      <c r="B40" s="195"/>
      <c r="C40" s="195"/>
      <c r="D40" s="195"/>
      <c r="E40" s="195"/>
      <c r="F40" s="195"/>
      <c r="G40" s="196">
        <f>B20*B39*B38/3600*B19*B6</f>
        <v>437.60999999999996</v>
      </c>
      <c r="H40" s="109"/>
    </row>
    <row r="41" spans="1:8" ht="12">
      <c r="A41" s="85"/>
      <c r="B41" s="85"/>
      <c r="C41" s="85"/>
      <c r="D41" s="85"/>
      <c r="E41" s="85"/>
      <c r="F41" s="182" t="s">
        <v>18</v>
      </c>
      <c r="G41" s="183">
        <f>SUM(G35:G40)</f>
        <v>762.0593987256636</v>
      </c>
      <c r="H41" s="160"/>
    </row>
    <row r="42" spans="1:8" s="83" customFormat="1" ht="12">
      <c r="A42" s="109"/>
      <c r="B42" s="109"/>
      <c r="C42" s="109"/>
      <c r="D42" s="109"/>
      <c r="E42" s="109"/>
      <c r="F42" s="109"/>
      <c r="G42" s="109"/>
      <c r="H42" s="109"/>
    </row>
    <row r="43" spans="1:8" ht="12">
      <c r="A43" s="88" t="s">
        <v>22</v>
      </c>
      <c r="B43" s="85"/>
      <c r="C43" s="85"/>
      <c r="D43" s="85"/>
      <c r="E43" s="85"/>
      <c r="F43" s="85"/>
      <c r="G43" s="85"/>
      <c r="H43" s="85"/>
    </row>
    <row r="44" spans="1:8" ht="12">
      <c r="A44" s="157" t="s">
        <v>9</v>
      </c>
      <c r="B44" s="158" t="s">
        <v>39</v>
      </c>
      <c r="C44" s="158" t="s">
        <v>10</v>
      </c>
      <c r="D44" s="158" t="s">
        <v>109</v>
      </c>
      <c r="E44" s="158" t="s">
        <v>110</v>
      </c>
      <c r="F44" s="158" t="s">
        <v>111</v>
      </c>
      <c r="G44" s="158" t="s">
        <v>14</v>
      </c>
      <c r="H44" s="160"/>
    </row>
    <row r="45" spans="1:8" ht="12">
      <c r="A45" s="161" t="s">
        <v>15</v>
      </c>
      <c r="B45" s="162">
        <f>3.42*3</f>
        <v>10.26</v>
      </c>
      <c r="C45" s="162">
        <f>$B$9</f>
        <v>0.89</v>
      </c>
      <c r="D45" s="162">
        <v>1.2</v>
      </c>
      <c r="E45" s="162">
        <v>1.2</v>
      </c>
      <c r="F45" s="162">
        <f>$B$4-$B$5</f>
        <v>14.5</v>
      </c>
      <c r="G45" s="168">
        <f>C45*B45*F45*D45*E45</f>
        <v>190.66363199999995</v>
      </c>
      <c r="H45" s="160"/>
    </row>
    <row r="46" spans="1:8" ht="12">
      <c r="A46" s="164" t="s">
        <v>23</v>
      </c>
      <c r="B46" s="165">
        <v>2</v>
      </c>
      <c r="C46" s="166">
        <f>$B$11</f>
        <v>2.71386430678466</v>
      </c>
      <c r="D46" s="165">
        <v>1</v>
      </c>
      <c r="E46" s="165">
        <v>1.2</v>
      </c>
      <c r="F46" s="162">
        <f>$B$4-$B$5</f>
        <v>14.5</v>
      </c>
      <c r="G46" s="168">
        <f>C46*B46*F46*D46*E46</f>
        <v>94.44247787610615</v>
      </c>
      <c r="H46" s="160"/>
    </row>
    <row r="47" spans="1:8" ht="12">
      <c r="A47" s="164" t="s">
        <v>24</v>
      </c>
      <c r="B47" s="165">
        <f>5*3-B46</f>
        <v>13</v>
      </c>
      <c r="C47" s="162">
        <f>$B$9</f>
        <v>0.89</v>
      </c>
      <c r="D47" s="165">
        <v>1.15</v>
      </c>
      <c r="E47" s="165">
        <v>1.2</v>
      </c>
      <c r="F47" s="162">
        <f>$B$4-$B$5</f>
        <v>14.5</v>
      </c>
      <c r="G47" s="168">
        <f>C47*B47*F47*D47*E47</f>
        <v>231.5157</v>
      </c>
      <c r="H47" s="160"/>
    </row>
    <row r="48" spans="1:8" ht="12.75" thickBot="1">
      <c r="A48" s="175" t="s">
        <v>21</v>
      </c>
      <c r="B48" s="176">
        <f>3.42*3</f>
        <v>10.26</v>
      </c>
      <c r="C48" s="178">
        <f>$B$9</f>
        <v>0.89</v>
      </c>
      <c r="D48" s="176">
        <v>1</v>
      </c>
      <c r="E48" s="176">
        <v>1.2</v>
      </c>
      <c r="F48" s="178">
        <f>$B$4-$B$5</f>
        <v>14.5</v>
      </c>
      <c r="G48" s="181">
        <f>C48*B48*F48*D48*E48</f>
        <v>158.88635999999997</v>
      </c>
      <c r="H48" s="160"/>
    </row>
    <row r="49" spans="1:8" ht="12">
      <c r="A49" s="188" t="s">
        <v>117</v>
      </c>
      <c r="B49" s="189">
        <v>30</v>
      </c>
      <c r="C49" s="189" t="s">
        <v>118</v>
      </c>
      <c r="D49" s="189"/>
      <c r="E49" s="189"/>
      <c r="F49" s="189"/>
      <c r="G49" s="190"/>
      <c r="H49" s="109"/>
    </row>
    <row r="50" spans="1:8" ht="12">
      <c r="A50" s="191" t="s">
        <v>119</v>
      </c>
      <c r="B50" s="192">
        <v>2</v>
      </c>
      <c r="C50" s="192"/>
      <c r="D50" s="192"/>
      <c r="E50" s="192"/>
      <c r="F50" s="192"/>
      <c r="G50" s="193"/>
      <c r="H50" s="109"/>
    </row>
    <row r="51" spans="1:8" ht="12.75" thickBot="1">
      <c r="A51" s="194" t="s">
        <v>115</v>
      </c>
      <c r="B51" s="195"/>
      <c r="C51" s="195"/>
      <c r="D51" s="195"/>
      <c r="E51" s="195"/>
      <c r="F51" s="195"/>
      <c r="G51" s="196">
        <f>1.2*B50*B49/3600*B19*B6</f>
        <v>291.74</v>
      </c>
      <c r="H51" s="109"/>
    </row>
    <row r="52" spans="1:8" ht="12">
      <c r="A52" s="85"/>
      <c r="B52" s="85"/>
      <c r="C52" s="85"/>
      <c r="D52" s="85"/>
      <c r="E52" s="85"/>
      <c r="F52" s="184" t="s">
        <v>18</v>
      </c>
      <c r="G52" s="185">
        <f>SUM(G45:G51)</f>
        <v>967.2481698761061</v>
      </c>
      <c r="H52" s="160"/>
    </row>
    <row r="53" spans="1:8" s="83" customFormat="1" ht="12">
      <c r="A53" s="109"/>
      <c r="B53" s="109"/>
      <c r="C53" s="109"/>
      <c r="D53" s="109"/>
      <c r="E53" s="109"/>
      <c r="F53" s="170"/>
      <c r="G53" s="171"/>
      <c r="H53" s="109"/>
    </row>
    <row r="54" spans="1:8" ht="12">
      <c r="A54" s="86" t="s">
        <v>74</v>
      </c>
      <c r="B54" s="90"/>
      <c r="C54" s="90"/>
      <c r="D54" s="169">
        <f>G30+G41+G52</f>
        <v>2067.3115919646016</v>
      </c>
      <c r="E54" s="85" t="s">
        <v>75</v>
      </c>
      <c r="F54" s="85"/>
      <c r="G54" s="85"/>
      <c r="H54" s="109"/>
    </row>
    <row r="56" spans="1:14" ht="12">
      <c r="A56" s="172" t="s">
        <v>50</v>
      </c>
      <c r="B56" s="173"/>
      <c r="C56" s="173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1:14" ht="12">
      <c r="A57" s="85" t="s">
        <v>57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ht="12">
      <c r="A58" s="85" t="s">
        <v>124</v>
      </c>
      <c r="B58" s="85">
        <v>60</v>
      </c>
      <c r="C58" s="85" t="s">
        <v>16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ht="12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12">
      <c r="A60" s="86"/>
      <c r="B60" s="87" t="s">
        <v>8</v>
      </c>
      <c r="C60" s="87" t="s">
        <v>22</v>
      </c>
      <c r="D60" s="88" t="s">
        <v>53</v>
      </c>
      <c r="E60" s="89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2">
      <c r="A61" s="90" t="s">
        <v>52</v>
      </c>
      <c r="B61" s="90" t="s">
        <v>83</v>
      </c>
      <c r="C61" s="91">
        <f>ROUND(G52/$B$58,0)</f>
        <v>16</v>
      </c>
      <c r="D61" s="91">
        <f>ROUND(G41/$B$58,0)</f>
        <v>13</v>
      </c>
      <c r="E61" s="92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2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ht="12">
      <c r="A63" s="201" t="s">
        <v>54</v>
      </c>
      <c r="B63" s="201"/>
      <c r="C63" s="201"/>
      <c r="D63" s="201"/>
      <c r="E63" s="201"/>
      <c r="F63" s="201"/>
      <c r="G63" s="201"/>
      <c r="H63" s="201"/>
      <c r="I63" s="201"/>
      <c r="J63" s="201"/>
      <c r="K63" s="85"/>
      <c r="L63" s="85"/>
      <c r="M63" s="85"/>
      <c r="N63" s="85"/>
    </row>
    <row r="64" spans="1:14" ht="12">
      <c r="A64" s="93" t="s">
        <v>112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4" ht="12">
      <c r="A65" s="93" t="s">
        <v>113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2.75" thickBot="1">
      <c r="A66" s="93" t="s">
        <v>73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1:14" ht="12">
      <c r="A67" s="134" t="s">
        <v>26</v>
      </c>
      <c r="B67" s="135" t="s">
        <v>108</v>
      </c>
      <c r="C67" s="136" t="s">
        <v>100</v>
      </c>
      <c r="D67" s="137" t="s">
        <v>107</v>
      </c>
      <c r="E67" s="138" t="s">
        <v>44</v>
      </c>
      <c r="F67" s="136" t="s">
        <v>82</v>
      </c>
      <c r="G67" s="139" t="s">
        <v>99</v>
      </c>
      <c r="H67" s="140" t="s">
        <v>96</v>
      </c>
      <c r="I67" s="139" t="s">
        <v>97</v>
      </c>
      <c r="J67" s="141" t="s">
        <v>91</v>
      </c>
      <c r="K67" s="94"/>
      <c r="L67" s="94"/>
      <c r="M67" s="85"/>
      <c r="N67" s="85"/>
    </row>
    <row r="68" spans="1:14" ht="12.75" thickBot="1">
      <c r="A68" s="142"/>
      <c r="B68" s="143" t="s">
        <v>101</v>
      </c>
      <c r="C68" s="144"/>
      <c r="D68" s="145" t="s">
        <v>6</v>
      </c>
      <c r="E68" s="146" t="s">
        <v>80</v>
      </c>
      <c r="F68" s="144" t="s">
        <v>98</v>
      </c>
      <c r="G68" s="145" t="s">
        <v>44</v>
      </c>
      <c r="H68" s="147" t="s">
        <v>102</v>
      </c>
      <c r="I68" s="145" t="s">
        <v>44</v>
      </c>
      <c r="J68" s="148"/>
      <c r="K68" s="94"/>
      <c r="L68" s="94"/>
      <c r="M68" s="85"/>
      <c r="N68" s="85"/>
    </row>
    <row r="69" spans="1:14" ht="12">
      <c r="A69" s="129" t="s">
        <v>29</v>
      </c>
      <c r="B69" s="130">
        <f>F31</f>
        <v>600</v>
      </c>
      <c r="C69" s="131"/>
      <c r="D69" s="121">
        <v>10</v>
      </c>
      <c r="E69" s="132">
        <f>B69/($B$17*D69)</f>
        <v>0.01433349259436216</v>
      </c>
      <c r="F69" s="131" t="s">
        <v>30</v>
      </c>
      <c r="G69" s="121">
        <f>10/1000</f>
        <v>0.01</v>
      </c>
      <c r="H69" s="133">
        <f>E69/($B$18*3.14*G69^2/4)</f>
        <v>0.18259226234856255</v>
      </c>
      <c r="I69" s="123">
        <f>1+1+0.4*2</f>
        <v>2.8</v>
      </c>
      <c r="J69" s="121">
        <v>4</v>
      </c>
      <c r="K69" s="96"/>
      <c r="L69" s="97"/>
      <c r="M69" s="85"/>
      <c r="N69" s="85"/>
    </row>
    <row r="70" spans="1:14" ht="12">
      <c r="A70" s="98" t="s">
        <v>31</v>
      </c>
      <c r="B70" s="99">
        <f>D61*$B$58</f>
        <v>780</v>
      </c>
      <c r="C70" s="100">
        <f>D61</f>
        <v>13</v>
      </c>
      <c r="D70" s="101">
        <v>10</v>
      </c>
      <c r="E70" s="102">
        <f>B70/($B$17*D70)</f>
        <v>0.018633540372670808</v>
      </c>
      <c r="F70" s="103" t="s">
        <v>30</v>
      </c>
      <c r="G70" s="101">
        <f>10/1000</f>
        <v>0.01</v>
      </c>
      <c r="H70" s="104">
        <f>E70/($B$18*3.14*G70^2/4)</f>
        <v>0.2373699410531313</v>
      </c>
      <c r="I70" s="105">
        <f>1+1+4*2+0.6*2+2*2</f>
        <v>15.2</v>
      </c>
      <c r="J70" s="90">
        <v>4</v>
      </c>
      <c r="K70" s="96"/>
      <c r="L70" s="97"/>
      <c r="M70" s="85"/>
      <c r="N70" s="85"/>
    </row>
    <row r="71" spans="1:14" ht="12">
      <c r="A71" s="106" t="s">
        <v>32</v>
      </c>
      <c r="B71" s="95">
        <f>C61*$B$58</f>
        <v>960</v>
      </c>
      <c r="C71" s="107">
        <f>C61</f>
        <v>16</v>
      </c>
      <c r="D71" s="90">
        <v>10</v>
      </c>
      <c r="E71" s="108">
        <f>B71/($B$17*D71)</f>
        <v>0.022933588150979456</v>
      </c>
      <c r="F71" s="95" t="s">
        <v>30</v>
      </c>
      <c r="G71" s="90">
        <f>10/1000</f>
        <v>0.01</v>
      </c>
      <c r="H71" s="108">
        <f>E71/($B$18*3.14*G71^2/4)</f>
        <v>0.2921476197577001</v>
      </c>
      <c r="I71" s="95">
        <f>1+1+3*2</f>
        <v>8</v>
      </c>
      <c r="J71" s="90">
        <v>4</v>
      </c>
      <c r="K71" s="96"/>
      <c r="L71" s="97"/>
      <c r="M71" s="85"/>
      <c r="N71" s="85"/>
    </row>
    <row r="72" spans="1:14" ht="12">
      <c r="A72" s="109"/>
      <c r="B72" s="109"/>
      <c r="C72" s="109"/>
      <c r="D72" s="110" t="s">
        <v>18</v>
      </c>
      <c r="E72" s="111">
        <f>SUM(E69:E71)</f>
        <v>0.055900621118012424</v>
      </c>
      <c r="F72" s="109"/>
      <c r="G72" s="109"/>
      <c r="H72" s="109"/>
      <c r="I72" s="109"/>
      <c r="J72" s="85"/>
      <c r="K72" s="109"/>
      <c r="L72" s="109"/>
      <c r="M72" s="85"/>
      <c r="N72" s="85"/>
    </row>
    <row r="73" spans="1:14" ht="12">
      <c r="A73" s="109"/>
      <c r="B73" s="109"/>
      <c r="C73" s="109"/>
      <c r="D73" s="109"/>
      <c r="E73" s="109"/>
      <c r="F73" s="109"/>
      <c r="G73" s="109"/>
      <c r="H73" s="109"/>
      <c r="I73" s="109"/>
      <c r="J73" s="85"/>
      <c r="K73" s="109"/>
      <c r="L73" s="109"/>
      <c r="M73" s="85"/>
      <c r="N73" s="85"/>
    </row>
    <row r="74" spans="1:14" s="81" customFormat="1" ht="12.75">
      <c r="A74" s="202" t="s">
        <v>60</v>
      </c>
      <c r="B74" s="202"/>
      <c r="C74" s="202"/>
      <c r="D74" s="202"/>
      <c r="E74" s="202"/>
      <c r="F74" s="202"/>
      <c r="G74" s="94"/>
      <c r="H74" s="94"/>
      <c r="I74" s="94"/>
      <c r="J74" s="84"/>
      <c r="K74" s="94"/>
      <c r="L74" s="94"/>
      <c r="M74" s="84"/>
      <c r="N74" s="84"/>
    </row>
    <row r="75" spans="1:14" ht="12">
      <c r="A75" s="84"/>
      <c r="B75" s="85"/>
      <c r="C75" s="85"/>
      <c r="D75" s="85"/>
      <c r="E75" s="85"/>
      <c r="F75" s="85"/>
      <c r="G75" s="85"/>
      <c r="H75" s="85"/>
      <c r="I75" s="84" t="s">
        <v>77</v>
      </c>
      <c r="J75" s="85"/>
      <c r="K75" s="85"/>
      <c r="L75" s="85"/>
      <c r="M75" s="85"/>
      <c r="N75" s="85"/>
    </row>
    <row r="76" spans="1:14" ht="12.75">
      <c r="A76" s="85" t="s">
        <v>41</v>
      </c>
      <c r="B76" s="85">
        <f>0.55*10^-6</f>
        <v>5.5E-07</v>
      </c>
      <c r="C76" s="85" t="s">
        <v>42</v>
      </c>
      <c r="D76" s="94" t="s">
        <v>61</v>
      </c>
      <c r="E76" s="94"/>
      <c r="F76" s="94"/>
      <c r="G76" s="94"/>
      <c r="H76" s="85"/>
      <c r="J76" s="85"/>
      <c r="K76" s="85"/>
      <c r="L76" s="85"/>
      <c r="M76" s="85"/>
      <c r="N76" s="85"/>
    </row>
    <row r="77" spans="1:14" ht="12.75">
      <c r="A77" s="85" t="s">
        <v>43</v>
      </c>
      <c r="B77" s="85">
        <f>7*10^-6</f>
        <v>7E-06</v>
      </c>
      <c r="C77" s="85" t="s">
        <v>44</v>
      </c>
      <c r="D77" s="153" t="s">
        <v>91</v>
      </c>
      <c r="E77" s="153" t="s">
        <v>63</v>
      </c>
      <c r="F77" s="153" t="s">
        <v>64</v>
      </c>
      <c r="G77" s="153" t="s">
        <v>65</v>
      </c>
      <c r="H77" s="153" t="s">
        <v>66</v>
      </c>
      <c r="I77" s="85"/>
      <c r="J77" s="85"/>
      <c r="K77" s="85"/>
      <c r="L77" s="85"/>
      <c r="M77" s="85"/>
      <c r="N77" s="85"/>
    </row>
    <row r="78" spans="1:14" ht="12.75">
      <c r="A78" s="85" t="s">
        <v>25</v>
      </c>
      <c r="B78" s="85">
        <v>4186</v>
      </c>
      <c r="C78" s="85" t="s">
        <v>47</v>
      </c>
      <c r="D78" s="90">
        <v>1</v>
      </c>
      <c r="E78" s="90">
        <v>1</v>
      </c>
      <c r="F78" s="90">
        <v>4</v>
      </c>
      <c r="G78" s="90">
        <v>2</v>
      </c>
      <c r="H78" s="90">
        <v>3</v>
      </c>
      <c r="I78" s="85"/>
      <c r="J78" s="85"/>
      <c r="K78" s="85"/>
      <c r="L78" s="85"/>
      <c r="M78" s="85"/>
      <c r="N78" s="85"/>
    </row>
    <row r="79" spans="1:14" ht="12.75">
      <c r="A79" s="85" t="s">
        <v>48</v>
      </c>
      <c r="B79" s="85">
        <v>1000</v>
      </c>
      <c r="C79" s="85" t="s">
        <v>49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1:14" ht="1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2.75" thickBot="1">
      <c r="A81" s="85" t="s">
        <v>114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spans="1:14" ht="12">
      <c r="A82" s="149" t="s">
        <v>26</v>
      </c>
      <c r="B82" s="139" t="s">
        <v>56</v>
      </c>
      <c r="C82" s="139" t="s">
        <v>106</v>
      </c>
      <c r="D82" s="139" t="s">
        <v>94</v>
      </c>
      <c r="E82" s="139" t="s">
        <v>67</v>
      </c>
      <c r="F82" s="139" t="s">
        <v>33</v>
      </c>
      <c r="G82" s="139" t="s">
        <v>95</v>
      </c>
      <c r="H82" s="139" t="s">
        <v>59</v>
      </c>
      <c r="I82" s="139" t="s">
        <v>34</v>
      </c>
      <c r="J82" s="139" t="s">
        <v>36</v>
      </c>
      <c r="K82" s="139" t="s">
        <v>69</v>
      </c>
      <c r="L82" s="139" t="s">
        <v>105</v>
      </c>
      <c r="M82" s="139" t="s">
        <v>35</v>
      </c>
      <c r="N82" s="150" t="s">
        <v>104</v>
      </c>
    </row>
    <row r="83" spans="1:14" ht="12.75" thickBot="1">
      <c r="A83" s="151"/>
      <c r="B83" s="145"/>
      <c r="C83" s="145" t="s">
        <v>44</v>
      </c>
      <c r="D83" s="145"/>
      <c r="E83" s="145"/>
      <c r="F83" s="145"/>
      <c r="G83" s="145" t="s">
        <v>44</v>
      </c>
      <c r="H83" s="145"/>
      <c r="I83" s="145"/>
      <c r="J83" s="145"/>
      <c r="K83" s="145" t="s">
        <v>44</v>
      </c>
      <c r="L83" s="145" t="s">
        <v>44</v>
      </c>
      <c r="M83" s="145" t="s">
        <v>44</v>
      </c>
      <c r="N83" s="152" t="s">
        <v>103</v>
      </c>
    </row>
    <row r="84" spans="1:14" ht="12">
      <c r="A84" s="121" t="s">
        <v>29</v>
      </c>
      <c r="B84" s="122">
        <f>H69</f>
        <v>0.18259226234856255</v>
      </c>
      <c r="C84" s="123">
        <f>G69</f>
        <v>0.01</v>
      </c>
      <c r="D84" s="123">
        <f>J69*$D$78</f>
        <v>4</v>
      </c>
      <c r="E84" s="123">
        <f>4*$D$78+$E$78+$F$78+$G$78*2+$H$78</f>
        <v>16</v>
      </c>
      <c r="F84" s="123">
        <f>D84+E84</f>
        <v>20</v>
      </c>
      <c r="G84" s="123">
        <f>I69</f>
        <v>2.8</v>
      </c>
      <c r="H84" s="124">
        <f>B84*C84/$B$76</f>
        <v>3319.85931542841</v>
      </c>
      <c r="I84" s="123">
        <f>$B$77/C84</f>
        <v>0.0007</v>
      </c>
      <c r="J84" s="125">
        <f>5.5/1000*(1+(200*I84+10^6/H84)^0.3333)</f>
        <v>0.04236725149768762</v>
      </c>
      <c r="K84" s="126">
        <f>J84*G84/C84*B84^2/19.62</f>
        <v>0.020158307157605762</v>
      </c>
      <c r="L84" s="126">
        <f>F84*B84^2/19.62</f>
        <v>0.03398566184461396</v>
      </c>
      <c r="M84" s="127">
        <f>K84+L84</f>
        <v>0.054143969002219725</v>
      </c>
      <c r="N84" s="128">
        <f>$B$79*9.81*M84/1000</f>
        <v>0.5311523359117755</v>
      </c>
    </row>
    <row r="85" spans="1:14" ht="12">
      <c r="A85" s="90" t="s">
        <v>31</v>
      </c>
      <c r="B85" s="112">
        <f>H70</f>
        <v>0.2373699410531313</v>
      </c>
      <c r="C85" s="95">
        <f>G70</f>
        <v>0.01</v>
      </c>
      <c r="D85" s="95">
        <f>J70*$D$78</f>
        <v>4</v>
      </c>
      <c r="E85" s="95">
        <f>4*$D$78+$E$78+$F$78+$G$78*2+$H$78</f>
        <v>16</v>
      </c>
      <c r="F85" s="95">
        <f>D85+E85</f>
        <v>20</v>
      </c>
      <c r="G85" s="95">
        <f>I70</f>
        <v>15.2</v>
      </c>
      <c r="H85" s="113">
        <f>B85*C85/$B$76</f>
        <v>4315.817110056933</v>
      </c>
      <c r="I85" s="95">
        <f>$B$77/C85</f>
        <v>0.0007</v>
      </c>
      <c r="J85" s="114">
        <f>5.5/1000*(1+(200*I85+10^6/H85)^0.3333)</f>
        <v>0.03928186442143237</v>
      </c>
      <c r="K85" s="115">
        <f>J85*G85/C85*B85^2/19.62</f>
        <v>0.17146998945993008</v>
      </c>
      <c r="L85" s="115">
        <f>F85*B85^2/19.62</f>
        <v>0.057435768517397574</v>
      </c>
      <c r="M85" s="116">
        <f>K85+L85</f>
        <v>0.22890575797732765</v>
      </c>
      <c r="N85" s="117">
        <f>$B$79*9.81*M85/1000</f>
        <v>2.245565485757584</v>
      </c>
    </row>
    <row r="86" spans="1:14" ht="11.25" customHeight="1">
      <c r="A86" s="90" t="s">
        <v>32</v>
      </c>
      <c r="B86" s="112">
        <f>H71</f>
        <v>0.2921476197577001</v>
      </c>
      <c r="C86" s="95">
        <f>G71</f>
        <v>0.01</v>
      </c>
      <c r="D86" s="95">
        <f>J71*$D$78</f>
        <v>4</v>
      </c>
      <c r="E86" s="95">
        <f>4*$D$78+$E$78+$F$78+$G$78*2+$H$78</f>
        <v>16</v>
      </c>
      <c r="F86" s="95">
        <f>D86+E86</f>
        <v>20</v>
      </c>
      <c r="G86" s="95">
        <f>I71</f>
        <v>8</v>
      </c>
      <c r="H86" s="113">
        <f>B86*C86/$B$76</f>
        <v>5311.774904685456</v>
      </c>
      <c r="I86" s="95">
        <f>$B$77/C86</f>
        <v>0.0007</v>
      </c>
      <c r="J86" s="114">
        <f>5.5/1000*(1+(200*I86+10^6/H86)^0.3333)</f>
        <v>0.03702447867112755</v>
      </c>
      <c r="K86" s="115">
        <f>J86*G86/C86*B86^2/19.62</f>
        <v>0.12885006459802245</v>
      </c>
      <c r="L86" s="115">
        <f>F86*B86^2/19.62</f>
        <v>0.08700329432221174</v>
      </c>
      <c r="M86" s="116">
        <f>K86+L86</f>
        <v>0.2158533589202342</v>
      </c>
      <c r="N86" s="117">
        <f>$B$79*9.81*M86/1000</f>
        <v>2.1175214510074976</v>
      </c>
    </row>
    <row r="87" spans="1:15" ht="1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83"/>
    </row>
    <row r="88" spans="1:15" ht="12">
      <c r="A88" s="200" t="s">
        <v>130</v>
      </c>
      <c r="B88" s="200"/>
      <c r="C88" s="200"/>
      <c r="D88" s="200"/>
      <c r="E88" s="200"/>
      <c r="F88" s="200"/>
      <c r="G88" s="200"/>
      <c r="H88" s="200"/>
      <c r="I88" s="200"/>
      <c r="J88" s="109"/>
      <c r="K88" s="109"/>
      <c r="L88" s="109"/>
      <c r="M88" s="109"/>
      <c r="N88" s="109"/>
      <c r="O88" s="83"/>
    </row>
    <row r="89" spans="1:15" ht="12">
      <c r="A89" s="109" t="s">
        <v>128</v>
      </c>
      <c r="B89" s="109"/>
      <c r="C89" s="109"/>
      <c r="D89" s="109"/>
      <c r="E89" s="109"/>
      <c r="F89" s="118">
        <f>N85</f>
        <v>2.245565485757584</v>
      </c>
      <c r="G89" s="109" t="s">
        <v>78</v>
      </c>
      <c r="H89" s="109"/>
      <c r="I89" s="109"/>
      <c r="J89" s="109"/>
      <c r="K89" s="109"/>
      <c r="L89" s="109"/>
      <c r="M89" s="109"/>
      <c r="N89" s="109"/>
      <c r="O89" s="83"/>
    </row>
    <row r="90" spans="1:14" ht="12">
      <c r="A90" s="85" t="s">
        <v>129</v>
      </c>
      <c r="B90" s="85"/>
      <c r="C90" s="85"/>
      <c r="D90" s="119">
        <f>E72</f>
        <v>0.055900621118012424</v>
      </c>
      <c r="E90" s="85" t="s">
        <v>80</v>
      </c>
      <c r="F90" s="120">
        <f>D90*3600</f>
        <v>201.24223602484471</v>
      </c>
      <c r="G90" s="85" t="s">
        <v>81</v>
      </c>
      <c r="H90" s="85"/>
      <c r="I90" s="85"/>
      <c r="J90" s="85"/>
      <c r="K90" s="85"/>
      <c r="L90" s="85"/>
      <c r="M90" s="85"/>
      <c r="N90" s="85"/>
    </row>
    <row r="91" spans="1:14" ht="12">
      <c r="A91" s="85" t="s">
        <v>85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14" ht="1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1:14" ht="12">
      <c r="A93" s="201" t="s">
        <v>131</v>
      </c>
      <c r="B93" s="201"/>
      <c r="C93" s="201"/>
      <c r="D93" s="201"/>
      <c r="E93" s="201"/>
      <c r="F93" s="201"/>
      <c r="G93" s="201"/>
      <c r="H93" s="201"/>
      <c r="I93" s="201"/>
      <c r="J93" s="85"/>
      <c r="K93" s="85"/>
      <c r="L93" s="85"/>
      <c r="M93" s="85"/>
      <c r="N93" s="85"/>
    </row>
    <row r="94" spans="1:14" ht="12">
      <c r="A94" s="85" t="s">
        <v>132</v>
      </c>
      <c r="B94" s="85">
        <v>183</v>
      </c>
      <c r="C94" s="85" t="s">
        <v>133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1:14" ht="12">
      <c r="A95" s="85" t="s">
        <v>134</v>
      </c>
      <c r="B95" s="85">
        <v>24</v>
      </c>
      <c r="C95" s="85" t="s">
        <v>135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12">
      <c r="A96" s="85" t="s">
        <v>136</v>
      </c>
      <c r="B96" s="85">
        <v>5.5</v>
      </c>
      <c r="C96" s="85" t="s">
        <v>6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1:14" ht="12">
      <c r="A97" s="85" t="s">
        <v>111</v>
      </c>
      <c r="B97" s="85">
        <f>20-B96</f>
        <v>14.5</v>
      </c>
      <c r="C97" s="85" t="s">
        <v>6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">
      <c r="A98" s="85" t="s">
        <v>137</v>
      </c>
      <c r="B98" s="85">
        <v>0.16</v>
      </c>
      <c r="C98" s="85" t="s">
        <v>138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">
      <c r="A100" s="85" t="s">
        <v>139</v>
      </c>
      <c r="B100" s="120">
        <f>D54/1000*B94*B95</f>
        <v>9079.63251190853</v>
      </c>
      <c r="C100" s="85" t="s">
        <v>140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">
      <c r="A101" s="85" t="s">
        <v>141</v>
      </c>
      <c r="B101" s="120">
        <f>B100*B98</f>
        <v>1452.741201905365</v>
      </c>
      <c r="C101" s="85" t="s">
        <v>138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ht="1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1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1:14" ht="1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ht="1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1:14" ht="1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1:14" ht="1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1:14" ht="1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1:14" ht="1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1:14" ht="1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1:14" ht="1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1:14" ht="1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</sheetData>
  <sheetProtection/>
  <mergeCells count="6">
    <mergeCell ref="C3:E3"/>
    <mergeCell ref="A88:I88"/>
    <mergeCell ref="A63:J63"/>
    <mergeCell ref="A74:F74"/>
    <mergeCell ref="A22:G22"/>
    <mergeCell ref="A93:I93"/>
  </mergeCells>
  <printOptions/>
  <pageMargins left="0" right="0" top="0.3937007874015748" bottom="0.3937007874015748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67">
      <selection activeCell="R89" sqref="R89"/>
    </sheetView>
  </sheetViews>
  <sheetFormatPr defaultColWidth="9.140625" defaultRowHeight="12.75"/>
  <cols>
    <col min="1" max="1" width="10.421875" style="82" customWidth="1"/>
    <col min="2" max="2" width="8.00390625" style="82" customWidth="1"/>
    <col min="3" max="3" width="6.8515625" style="82" customWidth="1"/>
    <col min="4" max="4" width="5.421875" style="82" customWidth="1"/>
    <col min="5" max="5" width="6.8515625" style="82" customWidth="1"/>
    <col min="6" max="6" width="6.140625" style="82" customWidth="1"/>
    <col min="7" max="7" width="6.28125" style="82" customWidth="1"/>
    <col min="8" max="8" width="6.421875" style="82" customWidth="1"/>
    <col min="9" max="9" width="6.28125" style="82" customWidth="1"/>
    <col min="10" max="10" width="5.28125" style="82" customWidth="1"/>
    <col min="11" max="11" width="5.7109375" style="82" customWidth="1"/>
    <col min="12" max="12" width="4.7109375" style="82" customWidth="1"/>
    <col min="13" max="13" width="5.140625" style="82" customWidth="1"/>
    <col min="14" max="14" width="5.28125" style="82" customWidth="1"/>
    <col min="15" max="17" width="10.57421875" style="82" customWidth="1"/>
    <col min="18" max="16384" width="9.00390625" style="82" customWidth="1"/>
  </cols>
  <sheetData>
    <row r="1" spans="1:8" ht="12">
      <c r="A1" s="84" t="s">
        <v>86</v>
      </c>
      <c r="B1" s="85"/>
      <c r="C1" s="85"/>
      <c r="D1" s="85"/>
      <c r="E1" s="85"/>
      <c r="F1" s="85"/>
      <c r="G1" s="85"/>
      <c r="H1" s="85"/>
    </row>
    <row r="2" spans="1:8" ht="12">
      <c r="A2" s="85"/>
      <c r="B2" s="85"/>
      <c r="C2" s="85"/>
      <c r="D2" s="85"/>
      <c r="E2" s="85"/>
      <c r="F2" s="85"/>
      <c r="G2" s="85"/>
      <c r="H2" s="85"/>
    </row>
    <row r="3" spans="1:8" ht="12">
      <c r="A3" s="84" t="s">
        <v>3</v>
      </c>
      <c r="B3" s="85" t="s">
        <v>4</v>
      </c>
      <c r="C3" s="174" t="s">
        <v>87</v>
      </c>
      <c r="D3" s="174"/>
      <c r="E3" s="174"/>
      <c r="F3" s="85"/>
      <c r="G3" s="85"/>
      <c r="H3" s="85"/>
    </row>
    <row r="4" spans="1:8" ht="12">
      <c r="A4" s="85" t="s">
        <v>5</v>
      </c>
      <c r="B4" s="85">
        <v>20</v>
      </c>
      <c r="C4" s="85" t="s">
        <v>6</v>
      </c>
      <c r="D4" s="85"/>
      <c r="E4" s="85"/>
      <c r="F4" s="85"/>
      <c r="G4" s="85"/>
      <c r="H4" s="85"/>
    </row>
    <row r="5" spans="1:8" ht="12">
      <c r="A5" s="85" t="s">
        <v>7</v>
      </c>
      <c r="B5" s="85">
        <v>-7</v>
      </c>
      <c r="C5" s="85" t="s">
        <v>6</v>
      </c>
      <c r="D5" s="85"/>
      <c r="E5" s="85"/>
      <c r="F5" s="85"/>
      <c r="G5" s="85"/>
      <c r="H5" s="85"/>
    </row>
    <row r="6" spans="1:8" ht="12">
      <c r="A6" s="85" t="s">
        <v>116</v>
      </c>
      <c r="B6" s="85">
        <f>B4-B5</f>
        <v>27</v>
      </c>
      <c r="C6" s="85" t="s">
        <v>6</v>
      </c>
      <c r="D6" s="85"/>
      <c r="E6" s="85"/>
      <c r="F6" s="85"/>
      <c r="G6" s="85"/>
      <c r="H6" s="85"/>
    </row>
    <row r="7" spans="1:8" ht="12">
      <c r="A7" s="85"/>
      <c r="B7" s="85"/>
      <c r="C7" s="85"/>
      <c r="D7" s="85"/>
      <c r="E7" s="85"/>
      <c r="F7" s="85"/>
      <c r="G7" s="85"/>
      <c r="H7" s="85"/>
    </row>
    <row r="8" spans="1:8" ht="12">
      <c r="A8" s="84" t="s">
        <v>37</v>
      </c>
      <c r="B8" s="85"/>
      <c r="C8" s="85"/>
      <c r="D8" s="85"/>
      <c r="E8" s="85"/>
      <c r="F8" s="85"/>
      <c r="G8" s="85"/>
      <c r="H8" s="85"/>
    </row>
    <row r="9" spans="1:8" ht="12">
      <c r="A9" s="85" t="s">
        <v>0</v>
      </c>
      <c r="B9" s="199">
        <f>(0.89^-1+0.1/0.021)^-1</f>
        <v>0.1699090909090909</v>
      </c>
      <c r="C9" s="85" t="s">
        <v>1</v>
      </c>
      <c r="D9" s="85"/>
      <c r="E9" s="85"/>
      <c r="F9" s="85"/>
      <c r="G9" s="85"/>
      <c r="H9" s="85"/>
    </row>
    <row r="10" spans="1:8" ht="12">
      <c r="A10" s="85" t="s">
        <v>2</v>
      </c>
      <c r="B10" s="85">
        <v>0.9</v>
      </c>
      <c r="C10" s="85" t="s">
        <v>1</v>
      </c>
      <c r="D10" s="85"/>
      <c r="E10" s="85"/>
      <c r="F10" s="85"/>
      <c r="G10" s="85"/>
      <c r="H10" s="85"/>
    </row>
    <row r="11" spans="1:8" ht="12">
      <c r="A11" s="85" t="s">
        <v>38</v>
      </c>
      <c r="B11" s="155">
        <f>(1/8+1/23+B10^-1)^-1</f>
        <v>0.781500707881076</v>
      </c>
      <c r="C11" s="85" t="s">
        <v>1</v>
      </c>
      <c r="D11" s="85"/>
      <c r="E11" s="85"/>
      <c r="F11" s="85"/>
      <c r="G11" s="85"/>
      <c r="H11" s="85"/>
    </row>
    <row r="12" spans="1:8" ht="12">
      <c r="A12" s="85" t="s">
        <v>45</v>
      </c>
      <c r="B12" s="85">
        <v>3</v>
      </c>
      <c r="C12" s="85" t="s">
        <v>44</v>
      </c>
      <c r="D12" s="85"/>
      <c r="E12" s="85"/>
      <c r="F12" s="85"/>
      <c r="G12" s="85"/>
      <c r="H12" s="85"/>
    </row>
    <row r="13" spans="1:8" ht="12">
      <c r="A13" s="85"/>
      <c r="B13" s="85"/>
      <c r="C13" s="85"/>
      <c r="D13" s="85"/>
      <c r="E13" s="85"/>
      <c r="F13" s="85"/>
      <c r="G13" s="85"/>
      <c r="H13" s="85"/>
    </row>
    <row r="14" spans="1:8" ht="12">
      <c r="A14" s="84" t="s">
        <v>46</v>
      </c>
      <c r="B14" s="85"/>
      <c r="C14" s="85"/>
      <c r="D14" s="85"/>
      <c r="E14" s="85"/>
      <c r="F14" s="85"/>
      <c r="G14" s="85"/>
      <c r="H14" s="85"/>
    </row>
    <row r="15" spans="1:8" ht="12">
      <c r="A15" s="85" t="s">
        <v>41</v>
      </c>
      <c r="B15" s="85">
        <f>0.55*10^-6</f>
        <v>5.5E-07</v>
      </c>
      <c r="C15" s="85" t="s">
        <v>42</v>
      </c>
      <c r="D15" s="85"/>
      <c r="E15" s="85"/>
      <c r="F15" s="85"/>
      <c r="G15" s="85"/>
      <c r="H15" s="85"/>
    </row>
    <row r="16" spans="1:8" ht="12">
      <c r="A16" s="85" t="s">
        <v>43</v>
      </c>
      <c r="B16" s="85">
        <f>7*10^-6</f>
        <v>7E-06</v>
      </c>
      <c r="C16" s="85" t="s">
        <v>44</v>
      </c>
      <c r="D16" s="85"/>
      <c r="E16" s="85"/>
      <c r="F16" s="85"/>
      <c r="G16" s="85"/>
      <c r="H16" s="85"/>
    </row>
    <row r="17" spans="1:8" ht="12">
      <c r="A17" s="85" t="s">
        <v>25</v>
      </c>
      <c r="B17" s="85">
        <v>4186</v>
      </c>
      <c r="C17" s="85" t="s">
        <v>47</v>
      </c>
      <c r="D17" s="85"/>
      <c r="E17" s="85"/>
      <c r="F17" s="85"/>
      <c r="G17" s="85"/>
      <c r="H17" s="85"/>
    </row>
    <row r="18" spans="1:8" ht="12">
      <c r="A18" s="85" t="s">
        <v>48</v>
      </c>
      <c r="B18" s="85">
        <v>1000</v>
      </c>
      <c r="C18" s="85" t="s">
        <v>49</v>
      </c>
      <c r="D18" s="85"/>
      <c r="E18" s="85"/>
      <c r="F18" s="85"/>
      <c r="G18" s="85"/>
      <c r="H18" s="85"/>
    </row>
    <row r="19" spans="1:8" ht="12">
      <c r="A19" s="85" t="s">
        <v>121</v>
      </c>
      <c r="B19" s="85">
        <v>1006</v>
      </c>
      <c r="C19" s="85" t="s">
        <v>47</v>
      </c>
      <c r="D19" s="85"/>
      <c r="E19" s="85"/>
      <c r="F19" s="85"/>
      <c r="G19" s="85"/>
      <c r="H19" s="85"/>
    </row>
    <row r="20" spans="1:8" ht="12">
      <c r="A20" s="85" t="s">
        <v>122</v>
      </c>
      <c r="B20" s="85">
        <v>1.2</v>
      </c>
      <c r="C20" s="85" t="s">
        <v>49</v>
      </c>
      <c r="D20" s="85"/>
      <c r="E20" s="85"/>
      <c r="F20" s="85"/>
      <c r="G20" s="85"/>
      <c r="H20" s="85"/>
    </row>
    <row r="21" spans="1:8" ht="12">
      <c r="A21" s="85"/>
      <c r="B21" s="85"/>
      <c r="C21" s="85"/>
      <c r="D21" s="85"/>
      <c r="E21" s="85"/>
      <c r="F21" s="85"/>
      <c r="G21" s="85"/>
      <c r="H21" s="85"/>
    </row>
    <row r="22" spans="1:8" ht="12">
      <c r="A22" s="203" t="s">
        <v>40</v>
      </c>
      <c r="B22" s="203"/>
      <c r="C22" s="203"/>
      <c r="D22" s="203"/>
      <c r="E22" s="203"/>
      <c r="F22" s="203"/>
      <c r="G22" s="203"/>
      <c r="H22" s="85"/>
    </row>
    <row r="23" spans="1:8" ht="12">
      <c r="A23" s="85"/>
      <c r="B23" s="85"/>
      <c r="C23" s="85"/>
      <c r="D23" s="85"/>
      <c r="E23" s="85"/>
      <c r="F23" s="85"/>
      <c r="G23" s="85"/>
      <c r="H23" s="85"/>
    </row>
    <row r="24" spans="1:8" ht="12">
      <c r="A24" s="156" t="s">
        <v>8</v>
      </c>
      <c r="B24" s="85"/>
      <c r="C24" s="85"/>
      <c r="D24" s="85"/>
      <c r="E24" s="85"/>
      <c r="F24" s="85"/>
      <c r="G24" s="85"/>
      <c r="H24" s="85"/>
    </row>
    <row r="25" spans="1:8" ht="12">
      <c r="A25" s="157" t="s">
        <v>9</v>
      </c>
      <c r="B25" s="158" t="s">
        <v>39</v>
      </c>
      <c r="C25" s="158" t="s">
        <v>10</v>
      </c>
      <c r="D25" s="158" t="s">
        <v>109</v>
      </c>
      <c r="E25" s="158" t="s">
        <v>110</v>
      </c>
      <c r="F25" s="158" t="s">
        <v>111</v>
      </c>
      <c r="G25" s="159" t="s">
        <v>14</v>
      </c>
      <c r="H25" s="160"/>
    </row>
    <row r="26" spans="1:8" ht="12">
      <c r="A26" s="161" t="s">
        <v>15</v>
      </c>
      <c r="B26" s="162">
        <f>1.2*3-0.5</f>
        <v>3.0999999999999996</v>
      </c>
      <c r="C26" s="162">
        <f>$B$9</f>
        <v>0.1699090909090909</v>
      </c>
      <c r="D26" s="162">
        <v>1.2</v>
      </c>
      <c r="E26" s="162">
        <v>1.2</v>
      </c>
      <c r="F26" s="162">
        <f>$B$4-$B$5</f>
        <v>27</v>
      </c>
      <c r="G26" s="163">
        <f>C26*B26*F26*D26*E26</f>
        <v>20.478802909090902</v>
      </c>
      <c r="H26" s="160"/>
    </row>
    <row r="27" spans="1:8" ht="12.75" thickBot="1">
      <c r="A27" s="175" t="s">
        <v>17</v>
      </c>
      <c r="B27" s="176">
        <v>0.5</v>
      </c>
      <c r="C27" s="177">
        <f>$B$11</f>
        <v>0.781500707881076</v>
      </c>
      <c r="D27" s="176">
        <v>1.2</v>
      </c>
      <c r="E27" s="176">
        <v>1.2</v>
      </c>
      <c r="F27" s="178">
        <f>$B$4-$B$5</f>
        <v>27</v>
      </c>
      <c r="G27" s="179">
        <f>C27*B27*F27*D27*E27</f>
        <v>15.192373761208117</v>
      </c>
      <c r="H27" s="160"/>
    </row>
    <row r="28" spans="1:8" ht="12">
      <c r="A28" s="188" t="s">
        <v>117</v>
      </c>
      <c r="B28" s="189">
        <v>8</v>
      </c>
      <c r="C28" s="197" t="s">
        <v>120</v>
      </c>
      <c r="D28" s="189"/>
      <c r="E28" s="189"/>
      <c r="F28" s="189"/>
      <c r="G28" s="190"/>
      <c r="H28" s="109"/>
    </row>
    <row r="29" spans="1:8" ht="12.75" thickBot="1">
      <c r="A29" s="194" t="s">
        <v>115</v>
      </c>
      <c r="B29" s="195">
        <f>1.2*1.8*3</f>
        <v>6.48</v>
      </c>
      <c r="C29" s="198" t="s">
        <v>123</v>
      </c>
      <c r="D29" s="195"/>
      <c r="E29" s="195"/>
      <c r="F29" s="195"/>
      <c r="G29" s="196">
        <f>B20*B28*B29/3600*B19*B6*0.3</f>
        <v>140.807808</v>
      </c>
      <c r="H29" s="109"/>
    </row>
    <row r="30" spans="1:8" ht="12">
      <c r="A30" s="85" t="s">
        <v>126</v>
      </c>
      <c r="B30" s="85"/>
      <c r="C30" s="85"/>
      <c r="D30" s="85"/>
      <c r="E30" s="85"/>
      <c r="F30" s="180" t="s">
        <v>18</v>
      </c>
      <c r="G30" s="163">
        <f>SUM(G26:G29)</f>
        <v>176.478984670299</v>
      </c>
      <c r="H30" s="160"/>
    </row>
    <row r="31" spans="1:8" ht="12">
      <c r="A31" s="85" t="s">
        <v>125</v>
      </c>
      <c r="B31" s="85"/>
      <c r="C31" s="85"/>
      <c r="D31" s="85"/>
      <c r="E31" s="85"/>
      <c r="F31" s="110">
        <v>200</v>
      </c>
      <c r="G31" s="167" t="s">
        <v>16</v>
      </c>
      <c r="H31" s="109"/>
    </row>
    <row r="32" spans="1:8" ht="12">
      <c r="A32" s="85"/>
      <c r="B32" s="85"/>
      <c r="C32" s="85"/>
      <c r="D32" s="85"/>
      <c r="E32" s="85"/>
      <c r="F32" s="85"/>
      <c r="G32" s="85"/>
      <c r="H32" s="85"/>
    </row>
    <row r="33" spans="1:8" ht="12">
      <c r="A33" s="87" t="s">
        <v>19</v>
      </c>
      <c r="B33" s="157"/>
      <c r="C33" s="109"/>
      <c r="D33" s="85"/>
      <c r="E33" s="85"/>
      <c r="F33" s="85"/>
      <c r="G33" s="85"/>
      <c r="H33" s="85"/>
    </row>
    <row r="34" spans="1:8" ht="12">
      <c r="A34" s="157" t="s">
        <v>9</v>
      </c>
      <c r="B34" s="158" t="s">
        <v>39</v>
      </c>
      <c r="C34" s="158" t="s">
        <v>10</v>
      </c>
      <c r="D34" s="158" t="s">
        <v>109</v>
      </c>
      <c r="E34" s="158" t="s">
        <v>110</v>
      </c>
      <c r="F34" s="158" t="s">
        <v>111</v>
      </c>
      <c r="G34" s="158" t="s">
        <v>14</v>
      </c>
      <c r="H34" s="160"/>
    </row>
    <row r="35" spans="1:8" ht="12">
      <c r="A35" s="161" t="s">
        <v>15</v>
      </c>
      <c r="B35" s="162">
        <f>2.22*3</f>
        <v>6.66</v>
      </c>
      <c r="C35" s="162">
        <f>$B$9</f>
        <v>0.1699090909090909</v>
      </c>
      <c r="D35" s="162">
        <v>1.2</v>
      </c>
      <c r="E35" s="162">
        <v>1.2</v>
      </c>
      <c r="F35" s="162">
        <f>$B$4-$B$5</f>
        <v>27</v>
      </c>
      <c r="G35" s="168">
        <f>C35*B35*F35*D35*E35</f>
        <v>43.996395927272715</v>
      </c>
      <c r="H35" s="160"/>
    </row>
    <row r="36" spans="1:8" ht="12">
      <c r="A36" s="175" t="s">
        <v>20</v>
      </c>
      <c r="B36" s="176">
        <v>1.2</v>
      </c>
      <c r="C36" s="177">
        <f>$B$11</f>
        <v>0.781500707881076</v>
      </c>
      <c r="D36" s="176">
        <v>1</v>
      </c>
      <c r="E36" s="176">
        <v>1.2</v>
      </c>
      <c r="F36" s="178">
        <f>$B$4-$B$5</f>
        <v>27</v>
      </c>
      <c r="G36" s="181">
        <f>C36*B36*F36*D36*E36</f>
        <v>30.384747522416234</v>
      </c>
      <c r="H36" s="160"/>
    </row>
    <row r="37" spans="1:8" ht="12.75" thickBot="1">
      <c r="A37" s="101" t="s">
        <v>21</v>
      </c>
      <c r="B37" s="186">
        <f>3.5*3-B36</f>
        <v>9.3</v>
      </c>
      <c r="C37" s="186">
        <f>$B$9</f>
        <v>0.1699090909090909</v>
      </c>
      <c r="D37" s="186">
        <v>1</v>
      </c>
      <c r="E37" s="186">
        <v>1.2</v>
      </c>
      <c r="F37" s="186">
        <f>$B$4-$B$5</f>
        <v>27</v>
      </c>
      <c r="G37" s="187">
        <f>C37*B37*F37*D37*E37</f>
        <v>51.19700727272727</v>
      </c>
      <c r="H37" s="160"/>
    </row>
    <row r="38" spans="1:8" ht="12">
      <c r="A38" s="188" t="s">
        <v>117</v>
      </c>
      <c r="B38" s="189">
        <v>30</v>
      </c>
      <c r="C38" s="189" t="s">
        <v>118</v>
      </c>
      <c r="D38" s="189"/>
      <c r="E38" s="189"/>
      <c r="F38" s="189"/>
      <c r="G38" s="190"/>
      <c r="H38" s="109"/>
    </row>
    <row r="39" spans="1:8" ht="12">
      <c r="A39" s="191" t="s">
        <v>119</v>
      </c>
      <c r="B39" s="192">
        <v>3</v>
      </c>
      <c r="C39" s="192"/>
      <c r="D39" s="192"/>
      <c r="E39" s="192"/>
      <c r="F39" s="192"/>
      <c r="G39" s="193"/>
      <c r="H39" s="109"/>
    </row>
    <row r="40" spans="1:8" ht="12.75" thickBot="1">
      <c r="A40" s="194" t="s">
        <v>115</v>
      </c>
      <c r="B40" s="195"/>
      <c r="C40" s="195"/>
      <c r="D40" s="195"/>
      <c r="E40" s="195"/>
      <c r="F40" s="195"/>
      <c r="G40" s="196">
        <f>B20*B39*B38/3600*B19*B6*0.3</f>
        <v>244.45799999999997</v>
      </c>
      <c r="H40" s="109"/>
    </row>
    <row r="41" spans="1:8" ht="12">
      <c r="A41" s="85" t="s">
        <v>126</v>
      </c>
      <c r="B41" s="85"/>
      <c r="C41" s="85"/>
      <c r="D41" s="85"/>
      <c r="E41" s="85"/>
      <c r="F41" s="182" t="s">
        <v>18</v>
      </c>
      <c r="G41" s="183">
        <f>SUM(G35:G40)</f>
        <v>370.0361507224162</v>
      </c>
      <c r="H41" s="160"/>
    </row>
    <row r="42" spans="1:8" s="83" customFormat="1" ht="12">
      <c r="A42" s="109"/>
      <c r="B42" s="109"/>
      <c r="C42" s="109"/>
      <c r="D42" s="109"/>
      <c r="E42" s="109"/>
      <c r="F42" s="109"/>
      <c r="G42" s="109"/>
      <c r="H42" s="109"/>
    </row>
    <row r="43" spans="1:8" ht="12">
      <c r="A43" s="88" t="s">
        <v>22</v>
      </c>
      <c r="B43" s="85"/>
      <c r="C43" s="85"/>
      <c r="D43" s="85"/>
      <c r="E43" s="85"/>
      <c r="F43" s="85"/>
      <c r="G43" s="85"/>
      <c r="H43" s="85"/>
    </row>
    <row r="44" spans="1:8" ht="12">
      <c r="A44" s="157" t="s">
        <v>9</v>
      </c>
      <c r="B44" s="158" t="s">
        <v>39</v>
      </c>
      <c r="C44" s="158" t="s">
        <v>10</v>
      </c>
      <c r="D44" s="158" t="s">
        <v>109</v>
      </c>
      <c r="E44" s="158" t="s">
        <v>110</v>
      </c>
      <c r="F44" s="158" t="s">
        <v>111</v>
      </c>
      <c r="G44" s="158" t="s">
        <v>14</v>
      </c>
      <c r="H44" s="160"/>
    </row>
    <row r="45" spans="1:8" ht="12">
      <c r="A45" s="161" t="s">
        <v>15</v>
      </c>
      <c r="B45" s="162">
        <f>3.42*3</f>
        <v>10.26</v>
      </c>
      <c r="C45" s="162">
        <f>$B$9</f>
        <v>0.1699090909090909</v>
      </c>
      <c r="D45" s="162">
        <v>1.2</v>
      </c>
      <c r="E45" s="162">
        <v>1.2</v>
      </c>
      <c r="F45" s="162">
        <f>$B$4-$B$5</f>
        <v>27</v>
      </c>
      <c r="G45" s="168">
        <f>C45*B45*F45*D45*E45</f>
        <v>67.77823156363635</v>
      </c>
      <c r="H45" s="160"/>
    </row>
    <row r="46" spans="1:8" ht="12">
      <c r="A46" s="164" t="s">
        <v>23</v>
      </c>
      <c r="B46" s="165">
        <v>2</v>
      </c>
      <c r="C46" s="166">
        <f>$B$11</f>
        <v>0.781500707881076</v>
      </c>
      <c r="D46" s="165">
        <v>1</v>
      </c>
      <c r="E46" s="165">
        <v>1.2</v>
      </c>
      <c r="F46" s="162">
        <f>$B$4-$B$5</f>
        <v>27</v>
      </c>
      <c r="G46" s="168">
        <f>C46*B46*F46*D46*E46</f>
        <v>50.64124587069372</v>
      </c>
      <c r="H46" s="160"/>
    </row>
    <row r="47" spans="1:8" ht="12">
      <c r="A47" s="164" t="s">
        <v>24</v>
      </c>
      <c r="B47" s="165">
        <f>5*3-B46</f>
        <v>13</v>
      </c>
      <c r="C47" s="162">
        <f>$B$9</f>
        <v>0.1699090909090909</v>
      </c>
      <c r="D47" s="165">
        <v>1.15</v>
      </c>
      <c r="E47" s="165">
        <v>1.2</v>
      </c>
      <c r="F47" s="162">
        <f>$B$4-$B$5</f>
        <v>27</v>
      </c>
      <c r="G47" s="168">
        <f>C47*B47*F47*D47*E47</f>
        <v>82.30056545454545</v>
      </c>
      <c r="H47" s="160"/>
    </row>
    <row r="48" spans="1:8" ht="12.75" thickBot="1">
      <c r="A48" s="175" t="s">
        <v>21</v>
      </c>
      <c r="B48" s="176">
        <f>3.42*3</f>
        <v>10.26</v>
      </c>
      <c r="C48" s="178">
        <f>$B$9</f>
        <v>0.1699090909090909</v>
      </c>
      <c r="D48" s="176">
        <v>1</v>
      </c>
      <c r="E48" s="176">
        <v>1.2</v>
      </c>
      <c r="F48" s="178">
        <f>$B$4-$B$5</f>
        <v>27</v>
      </c>
      <c r="G48" s="181">
        <f>C48*B48*F48*D48*E48</f>
        <v>56.48185963636363</v>
      </c>
      <c r="H48" s="160"/>
    </row>
    <row r="49" spans="1:8" ht="12">
      <c r="A49" s="188" t="s">
        <v>117</v>
      </c>
      <c r="B49" s="189">
        <v>30</v>
      </c>
      <c r="C49" s="189" t="s">
        <v>118</v>
      </c>
      <c r="D49" s="189"/>
      <c r="E49" s="189"/>
      <c r="F49" s="189"/>
      <c r="G49" s="190"/>
      <c r="H49" s="109"/>
    </row>
    <row r="50" spans="1:8" ht="12">
      <c r="A50" s="191" t="s">
        <v>119</v>
      </c>
      <c r="B50" s="192">
        <v>2</v>
      </c>
      <c r="C50" s="192"/>
      <c r="D50" s="192"/>
      <c r="E50" s="192"/>
      <c r="F50" s="192"/>
      <c r="G50" s="193"/>
      <c r="H50" s="109"/>
    </row>
    <row r="51" spans="1:8" ht="12.75" thickBot="1">
      <c r="A51" s="194" t="s">
        <v>115</v>
      </c>
      <c r="B51" s="195"/>
      <c r="C51" s="195"/>
      <c r="D51" s="195"/>
      <c r="E51" s="195"/>
      <c r="F51" s="195"/>
      <c r="G51" s="196">
        <f>1.2*B50*B49/3600*B19*B6*0.3</f>
        <v>162.972</v>
      </c>
      <c r="H51" s="109"/>
    </row>
    <row r="52" spans="1:8" ht="12">
      <c r="A52" s="85" t="s">
        <v>126</v>
      </c>
      <c r="B52" s="85"/>
      <c r="C52" s="85"/>
      <c r="D52" s="85"/>
      <c r="E52" s="85"/>
      <c r="F52" s="184" t="s">
        <v>18</v>
      </c>
      <c r="G52" s="185">
        <f>SUM(G45:G51)</f>
        <v>420.1739025252392</v>
      </c>
      <c r="H52" s="160"/>
    </row>
    <row r="53" spans="1:8" s="83" customFormat="1" ht="12">
      <c r="A53" s="109"/>
      <c r="B53" s="109"/>
      <c r="C53" s="109"/>
      <c r="D53" s="109"/>
      <c r="E53" s="109"/>
      <c r="F53" s="170"/>
      <c r="G53" s="171"/>
      <c r="H53" s="109"/>
    </row>
    <row r="54" spans="1:8" ht="12">
      <c r="A54" s="86" t="s">
        <v>74</v>
      </c>
      <c r="B54" s="90"/>
      <c r="C54" s="90"/>
      <c r="D54" s="169">
        <f>G30+G41+G52</f>
        <v>966.6890379179545</v>
      </c>
      <c r="E54" s="85" t="s">
        <v>75</v>
      </c>
      <c r="F54" s="85"/>
      <c r="G54" s="85"/>
      <c r="H54" s="109"/>
    </row>
    <row r="56" spans="1:14" ht="12">
      <c r="A56" s="203" t="s">
        <v>50</v>
      </c>
      <c r="B56" s="203"/>
      <c r="C56" s="203"/>
      <c r="D56" s="203"/>
      <c r="E56" s="203"/>
      <c r="F56" s="203"/>
      <c r="G56" s="203"/>
      <c r="H56" s="85"/>
      <c r="I56" s="85"/>
      <c r="J56" s="85"/>
      <c r="K56" s="85"/>
      <c r="L56" s="85"/>
      <c r="M56" s="85"/>
      <c r="N56" s="85"/>
    </row>
    <row r="57" spans="1:14" ht="12">
      <c r="A57" s="85" t="s">
        <v>57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ht="12">
      <c r="A58" s="85" t="s">
        <v>124</v>
      </c>
      <c r="B58" s="85">
        <v>60</v>
      </c>
      <c r="C58" s="85" t="s">
        <v>16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ht="12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12">
      <c r="A60" s="86"/>
      <c r="B60" s="87" t="s">
        <v>8</v>
      </c>
      <c r="C60" s="87" t="s">
        <v>22</v>
      </c>
      <c r="D60" s="88" t="s">
        <v>53</v>
      </c>
      <c r="E60" s="89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2">
      <c r="A61" s="90" t="s">
        <v>52</v>
      </c>
      <c r="B61" s="90" t="s">
        <v>83</v>
      </c>
      <c r="C61" s="91">
        <f>ROUND(G52/$B$58,0)</f>
        <v>7</v>
      </c>
      <c r="D61" s="91">
        <f>ROUND(G41/$B$58,0)</f>
        <v>6</v>
      </c>
      <c r="E61" s="92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2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ht="12">
      <c r="A63" s="203" t="s">
        <v>54</v>
      </c>
      <c r="B63" s="203"/>
      <c r="C63" s="203"/>
      <c r="D63" s="203"/>
      <c r="E63" s="203"/>
      <c r="F63" s="203"/>
      <c r="G63" s="203"/>
      <c r="H63" s="203"/>
      <c r="I63" s="203"/>
      <c r="J63" s="203"/>
      <c r="K63" s="85"/>
      <c r="L63" s="85"/>
      <c r="M63" s="85"/>
      <c r="N63" s="85"/>
    </row>
    <row r="64" spans="1:14" ht="12">
      <c r="A64" s="93" t="s">
        <v>112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4" ht="12">
      <c r="A65" s="93" t="s">
        <v>113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2.75" thickBot="1">
      <c r="A66" s="93" t="s">
        <v>73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1:14" ht="12">
      <c r="A67" s="134" t="s">
        <v>26</v>
      </c>
      <c r="B67" s="135" t="s">
        <v>108</v>
      </c>
      <c r="C67" s="136" t="s">
        <v>100</v>
      </c>
      <c r="D67" s="137" t="s">
        <v>107</v>
      </c>
      <c r="E67" s="138" t="s">
        <v>44</v>
      </c>
      <c r="F67" s="136" t="s">
        <v>82</v>
      </c>
      <c r="G67" s="139" t="s">
        <v>99</v>
      </c>
      <c r="H67" s="140" t="s">
        <v>96</v>
      </c>
      <c r="I67" s="139" t="s">
        <v>97</v>
      </c>
      <c r="J67" s="141" t="s">
        <v>91</v>
      </c>
      <c r="K67" s="94"/>
      <c r="L67" s="94"/>
      <c r="M67" s="85"/>
      <c r="N67" s="85"/>
    </row>
    <row r="68" spans="1:14" ht="12.75" thickBot="1">
      <c r="A68" s="142"/>
      <c r="B68" s="143" t="s">
        <v>101</v>
      </c>
      <c r="C68" s="144"/>
      <c r="D68" s="145" t="s">
        <v>6</v>
      </c>
      <c r="E68" s="146" t="s">
        <v>80</v>
      </c>
      <c r="F68" s="144" t="s">
        <v>98</v>
      </c>
      <c r="G68" s="145" t="s">
        <v>44</v>
      </c>
      <c r="H68" s="147" t="s">
        <v>102</v>
      </c>
      <c r="I68" s="145" t="s">
        <v>44</v>
      </c>
      <c r="J68" s="148"/>
      <c r="K68" s="94"/>
      <c r="L68" s="94"/>
      <c r="M68" s="85"/>
      <c r="N68" s="85"/>
    </row>
    <row r="69" spans="1:14" ht="12">
      <c r="A69" s="129" t="s">
        <v>29</v>
      </c>
      <c r="B69" s="130">
        <f>F31</f>
        <v>200</v>
      </c>
      <c r="C69" s="131"/>
      <c r="D69" s="121">
        <v>5</v>
      </c>
      <c r="E69" s="132">
        <f>B69/($B$17*D69)</f>
        <v>0.009555661729574774</v>
      </c>
      <c r="F69" s="131" t="s">
        <v>30</v>
      </c>
      <c r="G69" s="121">
        <f>10/1000</f>
        <v>0.01</v>
      </c>
      <c r="H69" s="133">
        <f>E69/($B$18*3.14*G69^2/4)</f>
        <v>0.12172817489904171</v>
      </c>
      <c r="I69" s="123">
        <f>1+1+0.4*2</f>
        <v>2.8</v>
      </c>
      <c r="J69" s="121">
        <v>4</v>
      </c>
      <c r="K69" s="96"/>
      <c r="L69" s="97"/>
      <c r="M69" s="85"/>
      <c r="N69" s="85"/>
    </row>
    <row r="70" spans="1:14" ht="12">
      <c r="A70" s="98" t="s">
        <v>31</v>
      </c>
      <c r="B70" s="99">
        <f>D61*$B$58</f>
        <v>360</v>
      </c>
      <c r="C70" s="100">
        <f>D61</f>
        <v>6</v>
      </c>
      <c r="D70" s="101">
        <v>10</v>
      </c>
      <c r="E70" s="102">
        <f>B70/($B$17*D70)</f>
        <v>0.008600095556617296</v>
      </c>
      <c r="F70" s="103" t="s">
        <v>30</v>
      </c>
      <c r="G70" s="101">
        <f>10/1000</f>
        <v>0.01</v>
      </c>
      <c r="H70" s="104">
        <f>E70/($B$18*3.14*G70^2/4)</f>
        <v>0.10955535740913752</v>
      </c>
      <c r="I70" s="105">
        <f>1+1+4*2+0.6*2+2*2</f>
        <v>15.2</v>
      </c>
      <c r="J70" s="90">
        <v>4</v>
      </c>
      <c r="K70" s="96"/>
      <c r="L70" s="97"/>
      <c r="M70" s="85"/>
      <c r="N70" s="85"/>
    </row>
    <row r="71" spans="1:14" ht="12">
      <c r="A71" s="106" t="s">
        <v>32</v>
      </c>
      <c r="B71" s="95">
        <f>C61*$B$58</f>
        <v>420</v>
      </c>
      <c r="C71" s="107">
        <f>C61</f>
        <v>7</v>
      </c>
      <c r="D71" s="90">
        <v>10</v>
      </c>
      <c r="E71" s="108">
        <f>B71/($B$17*D71)</f>
        <v>0.010033444816053512</v>
      </c>
      <c r="F71" s="95" t="s">
        <v>30</v>
      </c>
      <c r="G71" s="90">
        <f>10/1000</f>
        <v>0.01</v>
      </c>
      <c r="H71" s="108">
        <f>E71/($B$18*3.14*G71^2/4)</f>
        <v>0.12781458364399378</v>
      </c>
      <c r="I71" s="95">
        <f>1+1+3*2</f>
        <v>8</v>
      </c>
      <c r="J71" s="90">
        <v>4</v>
      </c>
      <c r="K71" s="96"/>
      <c r="L71" s="97"/>
      <c r="M71" s="85"/>
      <c r="N71" s="85"/>
    </row>
    <row r="72" spans="1:14" ht="12">
      <c r="A72" s="109"/>
      <c r="B72" s="109"/>
      <c r="C72" s="109"/>
      <c r="D72" s="110" t="s">
        <v>18</v>
      </c>
      <c r="E72" s="111">
        <f>SUM(E69:E71)</f>
        <v>0.028189202102245584</v>
      </c>
      <c r="F72" s="109"/>
      <c r="G72" s="109"/>
      <c r="H72" s="109"/>
      <c r="I72" s="109"/>
      <c r="J72" s="85"/>
      <c r="K72" s="109"/>
      <c r="L72" s="109"/>
      <c r="M72" s="85"/>
      <c r="N72" s="85"/>
    </row>
    <row r="73" spans="1:14" ht="12">
      <c r="A73" s="109"/>
      <c r="B73" s="109"/>
      <c r="C73" s="109"/>
      <c r="D73" s="109"/>
      <c r="E73" s="109"/>
      <c r="F73" s="109"/>
      <c r="G73" s="109"/>
      <c r="H73" s="109"/>
      <c r="I73" s="109"/>
      <c r="J73" s="85"/>
      <c r="K73" s="109"/>
      <c r="L73" s="109"/>
      <c r="M73" s="85"/>
      <c r="N73" s="85"/>
    </row>
    <row r="74" spans="1:14" s="81" customFormat="1" ht="12.75">
      <c r="A74" s="204" t="s">
        <v>60</v>
      </c>
      <c r="B74" s="204"/>
      <c r="C74" s="204"/>
      <c r="D74" s="204"/>
      <c r="E74" s="204"/>
      <c r="F74" s="204"/>
      <c r="G74" s="94"/>
      <c r="H74" s="94"/>
      <c r="I74" s="94"/>
      <c r="J74" s="84"/>
      <c r="K74" s="94"/>
      <c r="L74" s="94"/>
      <c r="M74" s="84"/>
      <c r="N74" s="84"/>
    </row>
    <row r="75" spans="1:14" ht="12">
      <c r="A75" s="84"/>
      <c r="B75" s="85"/>
      <c r="C75" s="85"/>
      <c r="D75" s="85"/>
      <c r="E75" s="85"/>
      <c r="F75" s="85"/>
      <c r="G75" s="85"/>
      <c r="H75" s="85"/>
      <c r="I75" s="84" t="s">
        <v>77</v>
      </c>
      <c r="J75" s="85"/>
      <c r="K75" s="85"/>
      <c r="L75" s="85"/>
      <c r="M75" s="85"/>
      <c r="N75" s="85"/>
    </row>
    <row r="76" spans="1:14" ht="12.75">
      <c r="A76" s="85" t="s">
        <v>41</v>
      </c>
      <c r="B76" s="85">
        <f>0.55*10^-6</f>
        <v>5.5E-07</v>
      </c>
      <c r="C76" s="85" t="s">
        <v>42</v>
      </c>
      <c r="D76" s="94" t="s">
        <v>61</v>
      </c>
      <c r="E76" s="94"/>
      <c r="F76" s="94"/>
      <c r="G76" s="94"/>
      <c r="H76" s="85"/>
      <c r="J76" s="85"/>
      <c r="K76" s="85"/>
      <c r="L76" s="85"/>
      <c r="M76" s="85"/>
      <c r="N76" s="85"/>
    </row>
    <row r="77" spans="1:14" ht="12.75">
      <c r="A77" s="85" t="s">
        <v>43</v>
      </c>
      <c r="B77" s="85">
        <f>7*10^-6</f>
        <v>7E-06</v>
      </c>
      <c r="C77" s="85" t="s">
        <v>44</v>
      </c>
      <c r="D77" s="153" t="s">
        <v>91</v>
      </c>
      <c r="E77" s="153" t="s">
        <v>63</v>
      </c>
      <c r="F77" s="153" t="s">
        <v>64</v>
      </c>
      <c r="G77" s="153" t="s">
        <v>65</v>
      </c>
      <c r="H77" s="153" t="s">
        <v>66</v>
      </c>
      <c r="I77" s="85"/>
      <c r="J77" s="85"/>
      <c r="K77" s="85"/>
      <c r="L77" s="85"/>
      <c r="M77" s="85"/>
      <c r="N77" s="85"/>
    </row>
    <row r="78" spans="1:14" ht="12.75">
      <c r="A78" s="85" t="s">
        <v>25</v>
      </c>
      <c r="B78" s="85">
        <v>4186</v>
      </c>
      <c r="C78" s="85" t="s">
        <v>47</v>
      </c>
      <c r="D78" s="90">
        <v>1</v>
      </c>
      <c r="E78" s="90">
        <v>1</v>
      </c>
      <c r="F78" s="90">
        <v>4</v>
      </c>
      <c r="G78" s="90">
        <v>2</v>
      </c>
      <c r="H78" s="90">
        <v>3</v>
      </c>
      <c r="I78" s="85"/>
      <c r="J78" s="85"/>
      <c r="K78" s="85"/>
      <c r="L78" s="85"/>
      <c r="M78" s="85"/>
      <c r="N78" s="85"/>
    </row>
    <row r="79" spans="1:14" ht="12.75">
      <c r="A79" s="85" t="s">
        <v>48</v>
      </c>
      <c r="B79" s="85">
        <v>1000</v>
      </c>
      <c r="C79" s="85" t="s">
        <v>49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1:14" ht="1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2.75" thickBot="1">
      <c r="A81" s="85" t="s">
        <v>114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spans="1:14" ht="12">
      <c r="A82" s="149" t="s">
        <v>26</v>
      </c>
      <c r="B82" s="139" t="s">
        <v>56</v>
      </c>
      <c r="C82" s="139" t="s">
        <v>106</v>
      </c>
      <c r="D82" s="139" t="s">
        <v>94</v>
      </c>
      <c r="E82" s="139" t="s">
        <v>67</v>
      </c>
      <c r="F82" s="139" t="s">
        <v>33</v>
      </c>
      <c r="G82" s="139" t="s">
        <v>95</v>
      </c>
      <c r="H82" s="139" t="s">
        <v>59</v>
      </c>
      <c r="I82" s="139" t="s">
        <v>34</v>
      </c>
      <c r="J82" s="139" t="s">
        <v>36</v>
      </c>
      <c r="K82" s="139" t="s">
        <v>69</v>
      </c>
      <c r="L82" s="139" t="s">
        <v>105</v>
      </c>
      <c r="M82" s="139" t="s">
        <v>35</v>
      </c>
      <c r="N82" s="150" t="s">
        <v>104</v>
      </c>
    </row>
    <row r="83" spans="1:14" ht="12.75" thickBot="1">
      <c r="A83" s="151"/>
      <c r="B83" s="145"/>
      <c r="C83" s="145" t="s">
        <v>44</v>
      </c>
      <c r="D83" s="145"/>
      <c r="E83" s="145"/>
      <c r="F83" s="145"/>
      <c r="G83" s="145" t="s">
        <v>44</v>
      </c>
      <c r="H83" s="145"/>
      <c r="I83" s="145"/>
      <c r="J83" s="145"/>
      <c r="K83" s="145" t="s">
        <v>44</v>
      </c>
      <c r="L83" s="145" t="s">
        <v>44</v>
      </c>
      <c r="M83" s="145" t="s">
        <v>44</v>
      </c>
      <c r="N83" s="152" t="s">
        <v>103</v>
      </c>
    </row>
    <row r="84" spans="1:14" ht="12">
      <c r="A84" s="121" t="s">
        <v>29</v>
      </c>
      <c r="B84" s="122">
        <f>H69</f>
        <v>0.12172817489904171</v>
      </c>
      <c r="C84" s="123">
        <f>G69</f>
        <v>0.01</v>
      </c>
      <c r="D84" s="123">
        <f>J69*$D$78</f>
        <v>4</v>
      </c>
      <c r="E84" s="123">
        <f>4*$D$78+$E$78+$F$78+$G$78*2+$H$78</f>
        <v>16</v>
      </c>
      <c r="F84" s="123">
        <f>D84+E84</f>
        <v>20</v>
      </c>
      <c r="G84" s="123">
        <f>I69</f>
        <v>2.8</v>
      </c>
      <c r="H84" s="124">
        <f>B84*C84/$B$76</f>
        <v>2213.2395436189404</v>
      </c>
      <c r="I84" s="123">
        <f>$B$77/C84</f>
        <v>0.0007</v>
      </c>
      <c r="J84" s="125">
        <f>5.5/1000*(1+(200*I84+10^6/H84)^0.3333)</f>
        <v>0.04769971920611432</v>
      </c>
      <c r="K84" s="126">
        <f>J84*G84/C84*B84^2/19.62</f>
        <v>0.010086885057026023</v>
      </c>
      <c r="L84" s="126">
        <f>F84*B84^2/19.62</f>
        <v>0.015104738597606207</v>
      </c>
      <c r="M84" s="127">
        <f>K84+L84</f>
        <v>0.02519162365463223</v>
      </c>
      <c r="N84" s="128">
        <f>$B$79*9.81*M84/1000</f>
        <v>0.2471298280519422</v>
      </c>
    </row>
    <row r="85" spans="1:14" ht="12">
      <c r="A85" s="90" t="s">
        <v>31</v>
      </c>
      <c r="B85" s="112">
        <f>H70</f>
        <v>0.10955535740913752</v>
      </c>
      <c r="C85" s="95">
        <f>G70</f>
        <v>0.01</v>
      </c>
      <c r="D85" s="95">
        <f>J70*$D$78</f>
        <v>4</v>
      </c>
      <c r="E85" s="95">
        <f>4*$D$78+$E$78+$F$78+$G$78*2+$H$78</f>
        <v>16</v>
      </c>
      <c r="F85" s="95">
        <f>D85+E85</f>
        <v>20</v>
      </c>
      <c r="G85" s="95">
        <f>I70</f>
        <v>15.2</v>
      </c>
      <c r="H85" s="113">
        <f>B85*C85/$B$76</f>
        <v>1991.915589257046</v>
      </c>
      <c r="I85" s="95">
        <f>$B$77/C85</f>
        <v>0.0007</v>
      </c>
      <c r="J85" s="114">
        <f>5.5/1000*(1+(200*I85+10^6/H85)^0.3333)</f>
        <v>0.049207508327857516</v>
      </c>
      <c r="K85" s="115">
        <f>J85*G85/C85*B85^2/19.62</f>
        <v>0.045755488838426714</v>
      </c>
      <c r="L85" s="115">
        <f>F85*B85^2/19.62</f>
        <v>0.012234838264061021</v>
      </c>
      <c r="M85" s="116">
        <f>K85+L85</f>
        <v>0.057990327102487735</v>
      </c>
      <c r="N85" s="117">
        <f>$B$79*9.81*M85/1000</f>
        <v>0.5688851088754047</v>
      </c>
    </row>
    <row r="86" spans="1:14" ht="11.25" customHeight="1">
      <c r="A86" s="90" t="s">
        <v>32</v>
      </c>
      <c r="B86" s="112">
        <f>H71</f>
        <v>0.12781458364399378</v>
      </c>
      <c r="C86" s="95">
        <f>G71</f>
        <v>0.01</v>
      </c>
      <c r="D86" s="95">
        <f>J71*$D$78</f>
        <v>4</v>
      </c>
      <c r="E86" s="95">
        <f>4*$D$78+$E$78+$F$78+$G$78*2+$H$78</f>
        <v>16</v>
      </c>
      <c r="F86" s="95">
        <f>D86+E86</f>
        <v>20</v>
      </c>
      <c r="G86" s="95">
        <f>I71</f>
        <v>8</v>
      </c>
      <c r="H86" s="113">
        <f>B86*C86/$B$76</f>
        <v>2323.901520799887</v>
      </c>
      <c r="I86" s="95">
        <f>$B$77/C86</f>
        <v>0.0007</v>
      </c>
      <c r="J86" s="114">
        <f>5.5/1000*(1+(200*I86+10^6/H86)^0.3333)</f>
        <v>0.047019241379676543</v>
      </c>
      <c r="K86" s="115">
        <f>J86*G86/C86*B86^2/19.62</f>
        <v>0.03132040873931134</v>
      </c>
      <c r="L86" s="115">
        <f>F86*B86^2/19.62</f>
        <v>0.016652974303860837</v>
      </c>
      <c r="M86" s="116">
        <f>K86+L86</f>
        <v>0.04797338304317218</v>
      </c>
      <c r="N86" s="117">
        <f>$B$79*9.81*M86/1000</f>
        <v>0.4706188876535191</v>
      </c>
    </row>
    <row r="87" spans="1:15" ht="1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83"/>
    </row>
    <row r="88" spans="1:15" ht="12">
      <c r="A88" s="204" t="s">
        <v>90</v>
      </c>
      <c r="B88" s="204"/>
      <c r="C88" s="204"/>
      <c r="D88" s="204"/>
      <c r="E88" s="204"/>
      <c r="F88" s="204"/>
      <c r="G88" s="204"/>
      <c r="H88" s="109"/>
      <c r="I88" s="109"/>
      <c r="J88" s="109"/>
      <c r="K88" s="109"/>
      <c r="L88" s="109"/>
      <c r="M88" s="109"/>
      <c r="N88" s="109"/>
      <c r="O88" s="83"/>
    </row>
    <row r="89" spans="1:15" ht="12">
      <c r="A89" s="109" t="s">
        <v>127</v>
      </c>
      <c r="B89" s="109"/>
      <c r="C89" s="109"/>
      <c r="D89" s="109"/>
      <c r="E89" s="109"/>
      <c r="F89" s="118">
        <f>N85</f>
        <v>0.5688851088754047</v>
      </c>
      <c r="G89" s="109" t="s">
        <v>78</v>
      </c>
      <c r="H89" s="109"/>
      <c r="I89" s="109"/>
      <c r="J89" s="109"/>
      <c r="K89" s="109"/>
      <c r="L89" s="109"/>
      <c r="M89" s="109"/>
      <c r="N89" s="109"/>
      <c r="O89" s="83"/>
    </row>
    <row r="90" spans="1:14" ht="12">
      <c r="A90" s="85" t="s">
        <v>129</v>
      </c>
      <c r="B90" s="85"/>
      <c r="C90" s="85"/>
      <c r="D90" s="119">
        <f>E72</f>
        <v>0.028189202102245584</v>
      </c>
      <c r="E90" s="85" t="s">
        <v>80</v>
      </c>
      <c r="F90" s="120">
        <f>D90*3600</f>
        <v>101.4811275680841</v>
      </c>
      <c r="G90" s="85" t="s">
        <v>81</v>
      </c>
      <c r="H90" s="85"/>
      <c r="I90" s="85"/>
      <c r="J90" s="85"/>
      <c r="K90" s="85"/>
      <c r="L90" s="85"/>
      <c r="M90" s="85"/>
      <c r="N90" s="85"/>
    </row>
    <row r="91" spans="1:14" ht="12">
      <c r="A91" s="85" t="s">
        <v>85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14" ht="1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1:14" ht="12">
      <c r="A93" s="205" t="s">
        <v>131</v>
      </c>
      <c r="B93" s="205"/>
      <c r="C93" s="205"/>
      <c r="D93" s="205"/>
      <c r="E93" s="205"/>
      <c r="F93" s="205"/>
      <c r="G93" s="205"/>
      <c r="H93" s="205"/>
      <c r="I93" s="205"/>
      <c r="J93" s="85"/>
      <c r="K93" s="85"/>
      <c r="L93" s="85"/>
      <c r="M93" s="85"/>
      <c r="N93" s="85"/>
    </row>
    <row r="94" spans="1:14" ht="12">
      <c r="A94" s="85" t="s">
        <v>132</v>
      </c>
      <c r="B94" s="85">
        <v>183</v>
      </c>
      <c r="C94" s="85" t="s">
        <v>133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1:14" ht="12">
      <c r="A95" s="85" t="s">
        <v>134</v>
      </c>
      <c r="B95" s="85">
        <v>24</v>
      </c>
      <c r="C95" s="85" t="s">
        <v>135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12">
      <c r="A96" s="85" t="s">
        <v>136</v>
      </c>
      <c r="B96" s="85">
        <v>5.5</v>
      </c>
      <c r="C96" s="85" t="s">
        <v>6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1:14" ht="12">
      <c r="A97" s="85" t="s">
        <v>111</v>
      </c>
      <c r="B97" s="85">
        <f>20-B96</f>
        <v>14.5</v>
      </c>
      <c r="C97" s="85" t="s">
        <v>6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">
      <c r="A98" s="85" t="s">
        <v>137</v>
      </c>
      <c r="B98" s="85">
        <v>0.16</v>
      </c>
      <c r="C98" s="85" t="s">
        <v>138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">
      <c r="A100" s="85" t="s">
        <v>139</v>
      </c>
      <c r="B100" s="120">
        <f>D54/1000*B94*B95</f>
        <v>4245.698254535656</v>
      </c>
      <c r="C100" s="85" t="s">
        <v>140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">
      <c r="A101" s="85" t="s">
        <v>141</v>
      </c>
      <c r="B101" s="120">
        <f>B100*B98</f>
        <v>679.311720725705</v>
      </c>
      <c r="C101" s="85" t="s">
        <v>138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ht="1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1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1:14" ht="1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ht="1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1:14" ht="1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1:14" ht="1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1:14" ht="1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1:14" ht="1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1:14" ht="1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1:14" ht="1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1:14" ht="1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</sheetData>
  <sheetProtection/>
  <mergeCells count="7">
    <mergeCell ref="A93:I93"/>
    <mergeCell ref="C3:E3"/>
    <mergeCell ref="A22:G22"/>
    <mergeCell ref="A56:G56"/>
    <mergeCell ref="A63:J63"/>
    <mergeCell ref="A74:F74"/>
    <mergeCell ref="A88:G88"/>
  </mergeCells>
  <printOptions/>
  <pageMargins left="0" right="0" top="0.3937007874015748" bottom="0.3937007874015748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73">
      <selection activeCell="Q79" sqref="Q79"/>
    </sheetView>
  </sheetViews>
  <sheetFormatPr defaultColWidth="9.140625" defaultRowHeight="12.75"/>
  <cols>
    <col min="1" max="1" width="11.28125" style="2" customWidth="1"/>
    <col min="2" max="2" width="9.28125" style="2" customWidth="1"/>
    <col min="3" max="3" width="8.8515625" style="2" customWidth="1"/>
    <col min="4" max="4" width="6.57421875" style="2" customWidth="1"/>
    <col min="5" max="5" width="7.57421875" style="2" customWidth="1"/>
    <col min="6" max="6" width="7.00390625" style="2" customWidth="1"/>
    <col min="7" max="7" width="6.8515625" style="2" customWidth="1"/>
    <col min="8" max="8" width="7.8515625" style="2" customWidth="1"/>
    <col min="9" max="9" width="6.57421875" style="2" customWidth="1"/>
    <col min="10" max="10" width="4.7109375" style="2" customWidth="1"/>
    <col min="11" max="11" width="7.7109375" style="2" customWidth="1"/>
    <col min="12" max="12" width="6.421875" style="2" customWidth="1"/>
    <col min="13" max="13" width="5.7109375" style="2" customWidth="1"/>
    <col min="14" max="14" width="7.7109375" style="2" customWidth="1"/>
    <col min="15" max="17" width="10.57421875" style="2" customWidth="1"/>
    <col min="18" max="16384" width="9.00390625" style="2" customWidth="1"/>
  </cols>
  <sheetData>
    <row r="1" ht="12.75">
      <c r="A1" s="1" t="s">
        <v>86</v>
      </c>
    </row>
    <row r="3" spans="1:3" ht="12.75">
      <c r="A3" s="1" t="s">
        <v>3</v>
      </c>
      <c r="B3" s="2" t="s">
        <v>4</v>
      </c>
      <c r="C3" s="2" t="s">
        <v>87</v>
      </c>
    </row>
    <row r="4" spans="1:3" ht="12.75">
      <c r="A4" s="2" t="s">
        <v>5</v>
      </c>
      <c r="B4" s="2">
        <v>20</v>
      </c>
      <c r="C4" s="2" t="s">
        <v>6</v>
      </c>
    </row>
    <row r="5" spans="1:3" ht="12.75">
      <c r="A5" s="2" t="s">
        <v>7</v>
      </c>
      <c r="B5" s="2">
        <v>-7</v>
      </c>
      <c r="C5" s="2" t="s">
        <v>6</v>
      </c>
    </row>
    <row r="6" spans="1:3" ht="12.75">
      <c r="A6" s="2" t="s">
        <v>88</v>
      </c>
      <c r="B6" s="2">
        <f>B4-B5</f>
        <v>27</v>
      </c>
      <c r="C6" s="2" t="s">
        <v>6</v>
      </c>
    </row>
    <row r="7" ht="12.75"/>
    <row r="8" ht="12.75">
      <c r="A8" s="1" t="s">
        <v>37</v>
      </c>
    </row>
    <row r="9" spans="1:3" ht="12.75">
      <c r="A9" s="2" t="s">
        <v>0</v>
      </c>
      <c r="B9" s="3">
        <v>0.89</v>
      </c>
      <c r="C9" s="2" t="s">
        <v>1</v>
      </c>
    </row>
    <row r="10" spans="1:3" ht="12.75">
      <c r="A10" s="2" t="s">
        <v>2</v>
      </c>
      <c r="B10" s="2">
        <v>5</v>
      </c>
      <c r="C10" s="2" t="s">
        <v>1</v>
      </c>
    </row>
    <row r="11" spans="1:3" ht="12.75">
      <c r="A11" s="2" t="s">
        <v>38</v>
      </c>
      <c r="B11" s="4">
        <v>2.71386430678466</v>
      </c>
      <c r="C11" s="2" t="s">
        <v>1</v>
      </c>
    </row>
    <row r="12" spans="1:3" ht="12.75">
      <c r="A12" s="2" t="s">
        <v>45</v>
      </c>
      <c r="B12" s="2">
        <v>3</v>
      </c>
      <c r="C12" s="2" t="s">
        <v>44</v>
      </c>
    </row>
    <row r="13" ht="12.75"/>
    <row r="14" ht="12.75">
      <c r="A14" s="1" t="s">
        <v>46</v>
      </c>
    </row>
    <row r="15" spans="1:3" ht="12.75">
      <c r="A15" s="2" t="s">
        <v>41</v>
      </c>
      <c r="B15" s="2">
        <f>0.55*10^-6</f>
        <v>5.5E-07</v>
      </c>
      <c r="C15" s="2" t="s">
        <v>42</v>
      </c>
    </row>
    <row r="16" spans="1:3" ht="12.75">
      <c r="A16" s="2" t="s">
        <v>43</v>
      </c>
      <c r="B16" s="2">
        <f>7*10^-6</f>
        <v>7E-06</v>
      </c>
      <c r="C16" s="2" t="s">
        <v>44</v>
      </c>
    </row>
    <row r="17" spans="1:3" ht="12.75">
      <c r="A17" s="2" t="s">
        <v>25</v>
      </c>
      <c r="B17" s="2">
        <v>4186</v>
      </c>
      <c r="C17" s="2" t="s">
        <v>47</v>
      </c>
    </row>
    <row r="18" spans="1:3" ht="12.75">
      <c r="A18" s="2" t="s">
        <v>48</v>
      </c>
      <c r="B18" s="2">
        <v>1000</v>
      </c>
      <c r="C18" s="2" t="s">
        <v>49</v>
      </c>
    </row>
    <row r="19" ht="12.75"/>
    <row r="20" ht="12.75">
      <c r="A20" s="1" t="s">
        <v>40</v>
      </c>
    </row>
    <row r="21" ht="12.75"/>
    <row r="22" ht="12.75">
      <c r="A22" s="27" t="s">
        <v>8</v>
      </c>
    </row>
    <row r="23" spans="1:8" ht="12.75">
      <c r="A23" s="18" t="s">
        <v>9</v>
      </c>
      <c r="B23" s="19" t="s">
        <v>39</v>
      </c>
      <c r="C23" s="19" t="s">
        <v>10</v>
      </c>
      <c r="D23" s="19" t="s">
        <v>11</v>
      </c>
      <c r="E23" s="19" t="s">
        <v>12</v>
      </c>
      <c r="F23" s="19" t="s">
        <v>13</v>
      </c>
      <c r="G23" s="29" t="s">
        <v>14</v>
      </c>
      <c r="H23" s="32"/>
    </row>
    <row r="24" spans="1:8" ht="12.75">
      <c r="A24" s="10" t="s">
        <v>15</v>
      </c>
      <c r="B24" s="11">
        <f>1.2*3-0.5</f>
        <v>3.0999999999999996</v>
      </c>
      <c r="C24" s="11">
        <v>0.89</v>
      </c>
      <c r="D24" s="11">
        <v>1.2</v>
      </c>
      <c r="E24" s="11">
        <v>1.2</v>
      </c>
      <c r="F24" s="11">
        <f>$B$4-$B$5</f>
        <v>27</v>
      </c>
      <c r="G24" s="30">
        <f>C24*B24*F24*D24*E24</f>
        <v>107.26992</v>
      </c>
      <c r="H24" s="32"/>
    </row>
    <row r="25" spans="1:8" ht="12.75">
      <c r="A25" s="5" t="s">
        <v>17</v>
      </c>
      <c r="B25" s="6">
        <v>0.5</v>
      </c>
      <c r="C25" s="7">
        <v>2.71386430678466</v>
      </c>
      <c r="D25" s="6">
        <v>1.2</v>
      </c>
      <c r="E25" s="6">
        <v>1.2</v>
      </c>
      <c r="F25" s="11">
        <f>$B$4-$B$5</f>
        <v>27</v>
      </c>
      <c r="G25" s="30">
        <f>C25*B25*F25*D25*E25</f>
        <v>52.757522123893786</v>
      </c>
      <c r="H25" s="32"/>
    </row>
    <row r="26" spans="6:8" ht="12.75">
      <c r="F26" s="8" t="s">
        <v>18</v>
      </c>
      <c r="G26" s="31">
        <f>SUM(G24:G25)</f>
        <v>160.0274421238938</v>
      </c>
      <c r="H26" s="32"/>
    </row>
    <row r="27" spans="1:8" ht="12.75">
      <c r="A27" s="2" t="s">
        <v>89</v>
      </c>
      <c r="F27" s="25">
        <f>320</f>
        <v>320</v>
      </c>
      <c r="G27" s="24" t="s">
        <v>16</v>
      </c>
      <c r="H27" s="9"/>
    </row>
    <row r="28" ht="12.75"/>
    <row r="29" spans="1:3" ht="12.75">
      <c r="A29" s="26" t="s">
        <v>19</v>
      </c>
      <c r="B29" s="18"/>
      <c r="C29" s="9"/>
    </row>
    <row r="30" spans="1:8" ht="12.75">
      <c r="A30" s="18" t="s">
        <v>9</v>
      </c>
      <c r="B30" s="19" t="s">
        <v>39</v>
      </c>
      <c r="C30" s="19" t="s">
        <v>10</v>
      </c>
      <c r="D30" s="19" t="s">
        <v>11</v>
      </c>
      <c r="E30" s="19" t="s">
        <v>12</v>
      </c>
      <c r="F30" s="19" t="s">
        <v>13</v>
      </c>
      <c r="G30" s="19" t="s">
        <v>14</v>
      </c>
      <c r="H30" s="32"/>
    </row>
    <row r="31" spans="1:8" ht="12.75">
      <c r="A31" s="10" t="s">
        <v>15</v>
      </c>
      <c r="B31" s="11">
        <f>2.22*3</f>
        <v>6.66</v>
      </c>
      <c r="C31" s="11">
        <v>0.89</v>
      </c>
      <c r="D31" s="11">
        <v>1.2</v>
      </c>
      <c r="E31" s="11">
        <v>1.2</v>
      </c>
      <c r="F31" s="11">
        <f>$B$4-$B$5</f>
        <v>27</v>
      </c>
      <c r="G31" s="20">
        <f>C31*B31*F31*D31*E31</f>
        <v>230.457312</v>
      </c>
      <c r="H31" s="32"/>
    </row>
    <row r="32" spans="1:8" ht="12.75">
      <c r="A32" s="5" t="s">
        <v>20</v>
      </c>
      <c r="B32" s="6">
        <v>1.2</v>
      </c>
      <c r="C32" s="7">
        <v>2.71386430678466</v>
      </c>
      <c r="D32" s="6">
        <v>1</v>
      </c>
      <c r="E32" s="6">
        <v>1.2</v>
      </c>
      <c r="F32" s="11">
        <f>$B$4-$B$5</f>
        <v>27</v>
      </c>
      <c r="G32" s="20">
        <f>C32*B32*F32*D32*E32</f>
        <v>105.51504424778757</v>
      </c>
      <c r="H32" s="32"/>
    </row>
    <row r="33" spans="1:8" ht="12.75">
      <c r="A33" s="5" t="s">
        <v>21</v>
      </c>
      <c r="B33" s="6">
        <f>3.5*3-B32</f>
        <v>9.3</v>
      </c>
      <c r="C33" s="6">
        <v>0.89</v>
      </c>
      <c r="D33" s="6">
        <v>1</v>
      </c>
      <c r="E33" s="6">
        <v>1.2</v>
      </c>
      <c r="F33" s="11">
        <f>$B$4-$B$5</f>
        <v>27</v>
      </c>
      <c r="G33" s="20">
        <f>C33*B33*F33*D33*E33</f>
        <v>268.17480000000006</v>
      </c>
      <c r="H33" s="32"/>
    </row>
    <row r="34" spans="6:8" ht="12.75">
      <c r="F34" s="14" t="s">
        <v>18</v>
      </c>
      <c r="G34" s="21">
        <f>SUM(G31:G33)</f>
        <v>604.1471562477876</v>
      </c>
      <c r="H34" s="32"/>
    </row>
    <row r="35" s="9" customFormat="1" ht="12.75"/>
    <row r="36" ht="12.75">
      <c r="A36" s="28" t="s">
        <v>22</v>
      </c>
    </row>
    <row r="37" spans="1:8" ht="12.75">
      <c r="A37" s="18" t="s">
        <v>9</v>
      </c>
      <c r="B37" s="19" t="s">
        <v>39</v>
      </c>
      <c r="C37" s="19" t="s">
        <v>10</v>
      </c>
      <c r="D37" s="19" t="s">
        <v>11</v>
      </c>
      <c r="E37" s="19" t="s">
        <v>12</v>
      </c>
      <c r="F37" s="19" t="s">
        <v>13</v>
      </c>
      <c r="G37" s="19" t="s">
        <v>14</v>
      </c>
      <c r="H37" s="32"/>
    </row>
    <row r="38" spans="1:8" ht="12.75">
      <c r="A38" s="10" t="s">
        <v>15</v>
      </c>
      <c r="B38" s="11">
        <f>3.42*3</f>
        <v>10.26</v>
      </c>
      <c r="C38" s="11">
        <v>0.89</v>
      </c>
      <c r="D38" s="11">
        <v>1.2</v>
      </c>
      <c r="E38" s="11">
        <v>1.2</v>
      </c>
      <c r="F38" s="11">
        <f>$B$4-$B$5</f>
        <v>27</v>
      </c>
      <c r="G38" s="20">
        <f>C38*B38*F38*D38*E38</f>
        <v>355.02883199999997</v>
      </c>
      <c r="H38" s="32"/>
    </row>
    <row r="39" spans="1:8" ht="12.75">
      <c r="A39" s="5" t="s">
        <v>23</v>
      </c>
      <c r="B39" s="6">
        <v>2</v>
      </c>
      <c r="C39" s="7">
        <v>2.71386430678466</v>
      </c>
      <c r="D39" s="6">
        <v>1</v>
      </c>
      <c r="E39" s="6">
        <v>1.2</v>
      </c>
      <c r="F39" s="11">
        <f>$B$4-$B$5</f>
        <v>27</v>
      </c>
      <c r="G39" s="20">
        <f>C39*B39*F39*D39*E39</f>
        <v>175.85840707964596</v>
      </c>
      <c r="H39" s="32"/>
    </row>
    <row r="40" spans="1:8" ht="12.75">
      <c r="A40" s="5" t="s">
        <v>24</v>
      </c>
      <c r="B40" s="6">
        <f>5*3-B39</f>
        <v>13</v>
      </c>
      <c r="C40" s="6">
        <v>0.89</v>
      </c>
      <c r="D40" s="6">
        <v>1.15</v>
      </c>
      <c r="E40" s="6">
        <v>1.2</v>
      </c>
      <c r="F40" s="11">
        <f>$B$4-$B$5</f>
        <v>27</v>
      </c>
      <c r="G40" s="20">
        <f>C40*B40*F40*D40*E40</f>
        <v>431.09819999999996</v>
      </c>
      <c r="H40" s="32"/>
    </row>
    <row r="41" spans="1:8" ht="12.75">
      <c r="A41" s="5" t="s">
        <v>21</v>
      </c>
      <c r="B41" s="6">
        <f>3.42*3</f>
        <v>10.26</v>
      </c>
      <c r="C41" s="6">
        <v>0.89</v>
      </c>
      <c r="D41" s="6">
        <v>1</v>
      </c>
      <c r="E41" s="6">
        <v>1.2</v>
      </c>
      <c r="F41" s="11">
        <f>$B$4-$B$5</f>
        <v>27</v>
      </c>
      <c r="G41" s="20">
        <f>C41*B41*F41*D41*E41</f>
        <v>295.85735999999997</v>
      </c>
      <c r="H41" s="32"/>
    </row>
    <row r="42" spans="6:8" ht="12.75">
      <c r="F42" s="17" t="s">
        <v>18</v>
      </c>
      <c r="G42" s="22">
        <f>SUM(G38:G41)</f>
        <v>1257.8427990796458</v>
      </c>
      <c r="H42" s="32"/>
    </row>
    <row r="43" spans="6:7" s="9" customFormat="1" ht="12.75">
      <c r="F43" s="15"/>
      <c r="G43" s="16"/>
    </row>
    <row r="44" spans="1:8" ht="12.75">
      <c r="A44" s="12" t="s">
        <v>74</v>
      </c>
      <c r="B44" s="13"/>
      <c r="C44" s="13"/>
      <c r="D44" s="22">
        <f>G26+G34+G42</f>
        <v>2022.0173974513273</v>
      </c>
      <c r="E44" s="2" t="s">
        <v>75</v>
      </c>
      <c r="H44" s="9"/>
    </row>
    <row r="45" ht="12.75"/>
    <row r="46" spans="1:14" ht="12.75">
      <c r="A46" s="33" t="s">
        <v>50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.75">
      <c r="A47" s="34" t="s">
        <v>57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s="23" customFormat="1" ht="12.75">
      <c r="A48" s="34" t="s">
        <v>51</v>
      </c>
      <c r="B48" s="34">
        <v>60</v>
      </c>
      <c r="C48" s="34" t="s">
        <v>16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.7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2.75">
      <c r="A50" s="35"/>
      <c r="B50" s="36" t="s">
        <v>8</v>
      </c>
      <c r="C50" s="36" t="s">
        <v>22</v>
      </c>
      <c r="D50" s="37" t="s">
        <v>53</v>
      </c>
      <c r="E50" s="38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75">
      <c r="A51" s="39" t="s">
        <v>52</v>
      </c>
      <c r="B51" s="39" t="s">
        <v>83</v>
      </c>
      <c r="C51" s="40">
        <f>ROUND(G42/$B$48,0)</f>
        <v>21</v>
      </c>
      <c r="D51" s="40">
        <f>ROUND(G34/$B$48,0)</f>
        <v>10</v>
      </c>
      <c r="E51" s="41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75">
      <c r="A53" s="33" t="s">
        <v>54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">
      <c r="A54" s="42" t="s">
        <v>72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">
      <c r="A55" s="42" t="s">
        <v>73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2">
      <c r="A56" s="43" t="s">
        <v>26</v>
      </c>
      <c r="B56" s="43" t="s">
        <v>27</v>
      </c>
      <c r="C56" s="44" t="s">
        <v>28</v>
      </c>
      <c r="D56" s="35" t="s">
        <v>92</v>
      </c>
      <c r="E56" s="45" t="s">
        <v>71</v>
      </c>
      <c r="F56" s="44" t="s">
        <v>82</v>
      </c>
      <c r="G56" s="35" t="s">
        <v>55</v>
      </c>
      <c r="H56" s="46" t="s">
        <v>56</v>
      </c>
      <c r="I56" s="35" t="s">
        <v>58</v>
      </c>
      <c r="J56" s="35" t="s">
        <v>91</v>
      </c>
      <c r="K56" s="47"/>
      <c r="L56" s="47"/>
      <c r="M56" s="34"/>
      <c r="N56" s="34"/>
    </row>
    <row r="57" spans="1:14" ht="12">
      <c r="A57" s="48" t="s">
        <v>29</v>
      </c>
      <c r="B57" s="49">
        <f>F27</f>
        <v>320</v>
      </c>
      <c r="C57" s="50"/>
      <c r="D57" s="39">
        <v>5</v>
      </c>
      <c r="E57" s="51">
        <f>B57/($B$17*D57)</f>
        <v>0.015289058767319636</v>
      </c>
      <c r="F57" s="50" t="s">
        <v>30</v>
      </c>
      <c r="G57" s="39">
        <f>10/1000</f>
        <v>0.01</v>
      </c>
      <c r="H57" s="52">
        <f>E57/($B$18*3.14*G57^2/4)</f>
        <v>0.1947650798384667</v>
      </c>
      <c r="I57" s="53">
        <f>1+1+0.4*2</f>
        <v>2.8</v>
      </c>
      <c r="J57" s="39">
        <v>4</v>
      </c>
      <c r="K57" s="54"/>
      <c r="L57" s="55"/>
      <c r="M57" s="34"/>
      <c r="N57" s="34"/>
    </row>
    <row r="58" spans="1:14" ht="12">
      <c r="A58" s="56" t="s">
        <v>31</v>
      </c>
      <c r="B58" s="57">
        <f>D51*$B$48</f>
        <v>600</v>
      </c>
      <c r="C58" s="58">
        <f>D51</f>
        <v>10</v>
      </c>
      <c r="D58" s="59">
        <v>10</v>
      </c>
      <c r="E58" s="60">
        <f>B58/($B$17*D58)</f>
        <v>0.01433349259436216</v>
      </c>
      <c r="F58" s="61" t="s">
        <v>30</v>
      </c>
      <c r="G58" s="59">
        <f>10/1000</f>
        <v>0.01</v>
      </c>
      <c r="H58" s="62">
        <f>E58/($B$18*3.14*G58^2/4)</f>
        <v>0.18259226234856255</v>
      </c>
      <c r="I58" s="63">
        <f>1+1+4*2+0.6*2+2*2</f>
        <v>15.2</v>
      </c>
      <c r="J58" s="39">
        <v>4</v>
      </c>
      <c r="K58" s="54"/>
      <c r="L58" s="55"/>
      <c r="M58" s="34"/>
      <c r="N58" s="34"/>
    </row>
    <row r="59" spans="1:14" ht="12">
      <c r="A59" s="64" t="s">
        <v>32</v>
      </c>
      <c r="B59" s="53">
        <f>C51*$B$48</f>
        <v>1260</v>
      </c>
      <c r="C59" s="65">
        <f>C51</f>
        <v>21</v>
      </c>
      <c r="D59" s="39">
        <v>10</v>
      </c>
      <c r="E59" s="66">
        <f>B59/($B$17*D59)</f>
        <v>0.030100334448160536</v>
      </c>
      <c r="F59" s="53" t="s">
        <v>30</v>
      </c>
      <c r="G59" s="39">
        <f>10/1000</f>
        <v>0.01</v>
      </c>
      <c r="H59" s="66">
        <f>E59/($B$18*3.14*G59^2/4)</f>
        <v>0.38344375093198135</v>
      </c>
      <c r="I59" s="53">
        <f>1+1+3*2</f>
        <v>8</v>
      </c>
      <c r="J59" s="39">
        <v>4</v>
      </c>
      <c r="K59" s="54"/>
      <c r="L59" s="55"/>
      <c r="M59" s="34"/>
      <c r="N59" s="34"/>
    </row>
    <row r="60" spans="1:14" ht="12">
      <c r="A60" s="67"/>
      <c r="B60" s="67"/>
      <c r="C60" s="67"/>
      <c r="D60" s="68" t="s">
        <v>18</v>
      </c>
      <c r="E60" s="69">
        <f>SUM(E57:E59)</f>
        <v>0.059722885809842335</v>
      </c>
      <c r="F60" s="67"/>
      <c r="G60" s="67"/>
      <c r="H60" s="67"/>
      <c r="I60" s="67"/>
      <c r="J60" s="34"/>
      <c r="K60" s="67"/>
      <c r="L60" s="67"/>
      <c r="M60" s="34"/>
      <c r="N60" s="34"/>
    </row>
    <row r="61" spans="1:14" ht="12">
      <c r="A61" s="67"/>
      <c r="B61" s="67"/>
      <c r="C61" s="67"/>
      <c r="D61" s="67"/>
      <c r="E61" s="67"/>
      <c r="F61" s="67"/>
      <c r="G61" s="67"/>
      <c r="H61" s="67"/>
      <c r="I61" s="67"/>
      <c r="J61" s="34"/>
      <c r="K61" s="67"/>
      <c r="L61" s="67"/>
      <c r="M61" s="34"/>
      <c r="N61" s="34"/>
    </row>
    <row r="62" spans="1:14" s="1" customFormat="1" ht="12.75">
      <c r="A62" s="47" t="s">
        <v>60</v>
      </c>
      <c r="B62" s="47"/>
      <c r="C62" s="47"/>
      <c r="D62" s="47"/>
      <c r="E62" s="47"/>
      <c r="F62" s="47"/>
      <c r="G62" s="47"/>
      <c r="H62" s="47"/>
      <c r="I62" s="47"/>
      <c r="J62" s="33"/>
      <c r="K62" s="47"/>
      <c r="L62" s="47"/>
      <c r="M62" s="33"/>
      <c r="N62" s="33"/>
    </row>
    <row r="63" spans="1:14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2">
      <c r="A64" s="34" t="s">
        <v>41</v>
      </c>
      <c r="B64" s="34">
        <f>0.55*10^-6</f>
        <v>5.5E-07</v>
      </c>
      <c r="C64" s="34" t="s">
        <v>42</v>
      </c>
      <c r="D64" s="47" t="s">
        <v>61</v>
      </c>
      <c r="E64" s="47"/>
      <c r="F64" s="47"/>
      <c r="G64" s="47"/>
      <c r="H64" s="34"/>
      <c r="I64" s="33" t="s">
        <v>77</v>
      </c>
      <c r="J64" s="34"/>
      <c r="K64" s="34"/>
      <c r="L64" s="34"/>
      <c r="M64" s="34"/>
      <c r="N64" s="34"/>
    </row>
    <row r="65" spans="1:14" ht="12.75">
      <c r="A65" s="34" t="s">
        <v>43</v>
      </c>
      <c r="B65" s="34">
        <f>7*10^-6</f>
        <v>7E-06</v>
      </c>
      <c r="C65" s="34" t="s">
        <v>44</v>
      </c>
      <c r="D65" s="39" t="s">
        <v>62</v>
      </c>
      <c r="E65" s="39" t="s">
        <v>63</v>
      </c>
      <c r="F65" s="39" t="s">
        <v>64</v>
      </c>
      <c r="G65" s="39" t="s">
        <v>65</v>
      </c>
      <c r="H65" s="39" t="s">
        <v>66</v>
      </c>
      <c r="I65" s="34"/>
      <c r="J65" s="34"/>
      <c r="K65" s="34"/>
      <c r="L65" s="34"/>
      <c r="M65" s="34"/>
      <c r="N65" s="34"/>
    </row>
    <row r="66" spans="1:14" ht="12.75">
      <c r="A66" s="34" t="s">
        <v>25</v>
      </c>
      <c r="B66" s="34">
        <v>4186</v>
      </c>
      <c r="C66" s="34" t="s">
        <v>47</v>
      </c>
      <c r="D66" s="39">
        <v>1</v>
      </c>
      <c r="E66" s="39">
        <v>1</v>
      </c>
      <c r="F66" s="39">
        <v>4</v>
      </c>
      <c r="G66" s="39">
        <v>2</v>
      </c>
      <c r="H66" s="39">
        <v>3</v>
      </c>
      <c r="I66" s="34"/>
      <c r="J66" s="34"/>
      <c r="K66" s="34"/>
      <c r="L66" s="34"/>
      <c r="M66" s="34"/>
      <c r="N66" s="34"/>
    </row>
    <row r="67" spans="1:14" ht="12.75">
      <c r="A67" s="34" t="s">
        <v>48</v>
      </c>
      <c r="B67" s="34">
        <v>1000</v>
      </c>
      <c r="C67" s="34" t="s">
        <v>49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">
      <c r="A69" s="34" t="s">
        <v>76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">
      <c r="A70" s="70" t="s">
        <v>26</v>
      </c>
      <c r="B70" s="70" t="s">
        <v>56</v>
      </c>
      <c r="C70" s="70" t="s">
        <v>68</v>
      </c>
      <c r="D70" s="70" t="s">
        <v>94</v>
      </c>
      <c r="E70" s="70" t="s">
        <v>67</v>
      </c>
      <c r="F70" s="70" t="s">
        <v>33</v>
      </c>
      <c r="G70" s="70" t="s">
        <v>95</v>
      </c>
      <c r="H70" s="70" t="s">
        <v>59</v>
      </c>
      <c r="I70" s="71" t="s">
        <v>34</v>
      </c>
      <c r="J70" s="70" t="s">
        <v>36</v>
      </c>
      <c r="K70" s="70" t="s">
        <v>69</v>
      </c>
      <c r="L70" s="70" t="s">
        <v>70</v>
      </c>
      <c r="M70" s="70" t="s">
        <v>35</v>
      </c>
      <c r="N70" s="70" t="s">
        <v>93</v>
      </c>
    </row>
    <row r="71" spans="1:14" ht="12">
      <c r="A71" s="39" t="s">
        <v>29</v>
      </c>
      <c r="B71" s="72">
        <f>H57</f>
        <v>0.1947650798384667</v>
      </c>
      <c r="C71" s="53">
        <f>G57</f>
        <v>0.01</v>
      </c>
      <c r="D71" s="53">
        <f>J57*$D$66</f>
        <v>4</v>
      </c>
      <c r="E71" s="53">
        <f>4*$D$66+$E$66+$F$66+$G$66*2+$H$66</f>
        <v>16</v>
      </c>
      <c r="F71" s="53">
        <f>D71+E71</f>
        <v>20</v>
      </c>
      <c r="G71" s="53">
        <f>I57</f>
        <v>2.8</v>
      </c>
      <c r="H71" s="73">
        <f>B71*C71/$B$64</f>
        <v>3541.1832697903033</v>
      </c>
      <c r="I71" s="53">
        <f>$B$65/C71</f>
        <v>0.0007</v>
      </c>
      <c r="J71" s="74">
        <f>5.5/1000*(1+(200*I71+10^6/H71)^0.3333)</f>
        <v>0.04158305256476498</v>
      </c>
      <c r="K71" s="75">
        <f>J71*G71/C71*B71^2/19.62</f>
        <v>0.022511144824673538</v>
      </c>
      <c r="L71" s="75">
        <f>F71*B71^2/19.62</f>
        <v>0.03866813080987187</v>
      </c>
      <c r="M71" s="76">
        <f>K71+L71</f>
        <v>0.06117927563454541</v>
      </c>
      <c r="N71" s="77">
        <f>$B$67*9.81*M71/1000</f>
        <v>0.6001686939748904</v>
      </c>
    </row>
    <row r="72" spans="1:14" ht="12">
      <c r="A72" s="39" t="s">
        <v>31</v>
      </c>
      <c r="B72" s="72">
        <f>H58</f>
        <v>0.18259226234856255</v>
      </c>
      <c r="C72" s="53">
        <f>G58</f>
        <v>0.01</v>
      </c>
      <c r="D72" s="53">
        <f>J58*$D$66</f>
        <v>4</v>
      </c>
      <c r="E72" s="53">
        <f>4*$D$66+$E$66+$F$66+$G$66*2+$H$66</f>
        <v>16</v>
      </c>
      <c r="F72" s="53">
        <f>D72+E72</f>
        <v>20</v>
      </c>
      <c r="G72" s="53">
        <f>I58</f>
        <v>15.2</v>
      </c>
      <c r="H72" s="73">
        <f>B72*C72/$B$64</f>
        <v>3319.85931542841</v>
      </c>
      <c r="I72" s="53">
        <f>$B$65/C72</f>
        <v>0.0007</v>
      </c>
      <c r="J72" s="74">
        <f>5.5/1000*(1+(200*I72+10^6/H72)^0.3333)</f>
        <v>0.04236725149768762</v>
      </c>
      <c r="K72" s="75">
        <f>J72*G72/C72*B72^2/19.62</f>
        <v>0.10943081028414557</v>
      </c>
      <c r="L72" s="75">
        <f>F72*B72^2/19.62</f>
        <v>0.03398566184461396</v>
      </c>
      <c r="M72" s="76">
        <f>K72+L72</f>
        <v>0.14341647212875952</v>
      </c>
      <c r="N72" s="77">
        <f>$B$67*9.81*M72/1000</f>
        <v>1.4069155915831308</v>
      </c>
    </row>
    <row r="73" spans="1:14" ht="11.25" customHeight="1">
      <c r="A73" s="39" t="s">
        <v>32</v>
      </c>
      <c r="B73" s="72">
        <f>H59</f>
        <v>0.38344375093198135</v>
      </c>
      <c r="C73" s="53">
        <f>G59</f>
        <v>0.01</v>
      </c>
      <c r="D73" s="53">
        <f>J59*$D$66</f>
        <v>4</v>
      </c>
      <c r="E73" s="53">
        <f>4*$D$66+$E$66+$F$66+$G$66*2+$H$66</f>
        <v>16</v>
      </c>
      <c r="F73" s="53">
        <f>D73+E73</f>
        <v>20</v>
      </c>
      <c r="G73" s="53">
        <f>I59</f>
        <v>8</v>
      </c>
      <c r="H73" s="73">
        <f>B73*C73/$B$64</f>
        <v>6971.704562399661</v>
      </c>
      <c r="I73" s="53">
        <f>$B$65/C73</f>
        <v>0.0007</v>
      </c>
      <c r="J73" s="74">
        <f>5.5/1000*(1+(200*I73+10^6/H73)^0.3333)</f>
        <v>0.034295128583844155</v>
      </c>
      <c r="K73" s="75">
        <f>J73*G73/C73*B73^2/19.62</f>
        <v>0.20560172221956965</v>
      </c>
      <c r="L73" s="75">
        <f>F73*B73^2/19.62</f>
        <v>0.14987676873474756</v>
      </c>
      <c r="M73" s="76">
        <f>K73+L73</f>
        <v>0.3554784909543172</v>
      </c>
      <c r="N73" s="77">
        <f>$B$67*9.81*M73/1000</f>
        <v>3.487243996261852</v>
      </c>
    </row>
    <row r="74" spans="1:15" ht="1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9"/>
    </row>
    <row r="75" spans="1:15" ht="12">
      <c r="A75" s="4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9"/>
    </row>
    <row r="76" spans="1:15" ht="12">
      <c r="A76" s="67" t="s">
        <v>84</v>
      </c>
      <c r="B76" s="67"/>
      <c r="C76" s="67"/>
      <c r="D76" s="67"/>
      <c r="E76" s="67"/>
      <c r="F76" s="78">
        <f>N73</f>
        <v>3.487243996261852</v>
      </c>
      <c r="G76" s="67" t="s">
        <v>78</v>
      </c>
      <c r="H76" s="67"/>
      <c r="I76" s="67"/>
      <c r="J76" s="67"/>
      <c r="K76" s="67"/>
      <c r="L76" s="67"/>
      <c r="M76" s="67"/>
      <c r="N76" s="67"/>
      <c r="O76" s="9"/>
    </row>
    <row r="77" spans="1:14" ht="12">
      <c r="A77" s="34" t="s">
        <v>79</v>
      </c>
      <c r="B77" s="34"/>
      <c r="C77" s="34"/>
      <c r="D77" s="79">
        <f>E60</f>
        <v>0.059722885809842335</v>
      </c>
      <c r="E77" s="34" t="s">
        <v>80</v>
      </c>
      <c r="F77" s="80">
        <f>D77*3600</f>
        <v>215.00238891543242</v>
      </c>
      <c r="G77" s="34" t="s">
        <v>81</v>
      </c>
      <c r="H77" s="34"/>
      <c r="I77" s="34"/>
      <c r="J77" s="34"/>
      <c r="K77" s="34"/>
      <c r="L77" s="34"/>
      <c r="M77" s="34"/>
      <c r="N77" s="34"/>
    </row>
    <row r="78" spans="1:14" ht="12">
      <c r="A78" s="34" t="s">
        <v>85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</sheetData>
  <sheetProtection/>
  <printOptions/>
  <pageMargins left="0" right="0" top="0.3937007874015748" bottom="0.3937007874015748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Ryzen5700u</dc:creator>
  <cp:keywords/>
  <dc:description/>
  <cp:lastModifiedBy>Ryzen5700u</cp:lastModifiedBy>
  <dcterms:created xsi:type="dcterms:W3CDTF">2023-09-26T08:07:22Z</dcterms:created>
  <dcterms:modified xsi:type="dcterms:W3CDTF">2023-10-24T07:38:21Z</dcterms:modified>
  <cp:category/>
  <cp:version/>
  <cp:contentType/>
  <cp:contentStatus/>
  <cp:revision>10</cp:revision>
</cp:coreProperties>
</file>